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65" windowWidth="12270" windowHeight="3510" activeTab="3"/>
  </bookViews>
  <sheets>
    <sheet name="Balance" sheetId="1" r:id="rId1"/>
    <sheet name="Est. resultados" sheetId="2" r:id="rId2"/>
    <sheet name="Ratios financieros" sheetId="3" r:id="rId3"/>
    <sheet name="árbol ROIC" sheetId="4" r:id="rId4"/>
  </sheets>
  <externalReferences>
    <externalReference r:id="rId7"/>
  </externalReferences>
  <definedNames>
    <definedName name="CBWorkbookPriority" hidden="1">-412216185</definedName>
    <definedName name="Equity_B_HoldingDisc">'[1]MktCap(holding disc)'!#REF!</definedName>
    <definedName name="escenario1">#REF!</definedName>
    <definedName name="escenario2">#REF!</definedName>
    <definedName name="escenario3">#REF!</definedName>
    <definedName name="escenario4">#REF!</definedName>
    <definedName name="FXJune06">#REF!</definedName>
    <definedName name="informe">#REF!</definedName>
    <definedName name="informe1">#REF!</definedName>
    <definedName name="informe2">#REF!</definedName>
    <definedName name="informe3">#REF!</definedName>
    <definedName name="informe4">#REF!</definedName>
    <definedName name="Nortel_Own_TA">#REF!</definedName>
    <definedName name="PayOutRatio">#REF!</definedName>
    <definedName name="PONFORSERNOR">#REF!</definedName>
    <definedName name="PONFORSERTOT">#REF!</definedName>
    <definedName name="PONFORTRIMNOR">#REF!</definedName>
    <definedName name="PONFORTRIMTOT">#REF!</definedName>
    <definedName name="ValorNominal_A">'[1]MktCap'!$C$23</definedName>
  </definedNames>
  <calcPr fullCalcOnLoad="1"/>
</workbook>
</file>

<file path=xl/comments2.xml><?xml version="1.0" encoding="utf-8"?>
<comments xmlns="http://schemas.openxmlformats.org/spreadsheetml/2006/main">
  <authors>
    <author>Willy</author>
  </authors>
  <commentList>
    <comment ref="B14" authorId="0">
      <text>
        <r>
          <rPr>
            <b/>
            <sz val="8"/>
            <rFont val="Tahoma"/>
            <family val="0"/>
          </rPr>
          <t>Willy:</t>
        </r>
        <r>
          <rPr>
            <sz val="8"/>
            <rFont val="Tahoma"/>
            <family val="0"/>
          </rPr>
          <t xml:space="preserve">
impuesto a los activos
</t>
        </r>
      </text>
    </comment>
    <comment ref="C14" authorId="0">
      <text>
        <r>
          <rPr>
            <b/>
            <sz val="8"/>
            <rFont val="Tahoma"/>
            <family val="0"/>
          </rPr>
          <t>Willy:</t>
        </r>
        <r>
          <rPr>
            <sz val="8"/>
            <rFont val="Tahoma"/>
            <family val="0"/>
          </rPr>
          <t xml:space="preserve">
impuesto a los activos
</t>
        </r>
      </text>
    </comment>
  </commentList>
</comments>
</file>

<file path=xl/sharedStrings.xml><?xml version="1.0" encoding="utf-8"?>
<sst xmlns="http://schemas.openxmlformats.org/spreadsheetml/2006/main" count="92" uniqueCount="83">
  <si>
    <t>EBIT</t>
  </si>
  <si>
    <t>Control</t>
  </si>
  <si>
    <t>ROA</t>
  </si>
  <si>
    <t>Historical</t>
  </si>
  <si>
    <t>EMPRESA:</t>
  </si>
  <si>
    <t>ROE</t>
  </si>
  <si>
    <t>BEP</t>
  </si>
  <si>
    <t>Rentabilidad</t>
  </si>
  <si>
    <t>Profit margin</t>
  </si>
  <si>
    <t>Activo total</t>
  </si>
  <si>
    <t>ROIC</t>
  </si>
  <si>
    <t>Fric Rot</t>
  </si>
  <si>
    <t>Caja y bancos</t>
  </si>
  <si>
    <t>Inversiones transitorias</t>
  </si>
  <si>
    <t>Cuentas a cobrar</t>
  </si>
  <si>
    <t>Inventarios</t>
  </si>
  <si>
    <t>Otros activos de corto plazo</t>
  </si>
  <si>
    <t>Total activo corriente</t>
  </si>
  <si>
    <t>Activos fijos</t>
  </si>
  <si>
    <t>Otros activos de largo plazo</t>
  </si>
  <si>
    <t>Total activo no corriente</t>
  </si>
  <si>
    <t>Otras deudas de corto plazo</t>
  </si>
  <si>
    <t>Deudas sociales y fiscales</t>
  </si>
  <si>
    <t>Deudas bancarias</t>
  </si>
  <si>
    <t>Total pasivo corriente</t>
  </si>
  <si>
    <t>Otras deudas de largo plazo</t>
  </si>
  <si>
    <t>Total pasivo no corriente</t>
  </si>
  <si>
    <t>Pasivo total</t>
  </si>
  <si>
    <t>Patrimonio neto</t>
  </si>
  <si>
    <t>Pasivo total + Patrimonio neto</t>
  </si>
  <si>
    <t>Variación</t>
  </si>
  <si>
    <t>Ventas</t>
  </si>
  <si>
    <t>CMV</t>
  </si>
  <si>
    <t>Utilidad Bruta</t>
  </si>
  <si>
    <t>Gastos administración</t>
  </si>
  <si>
    <t>Gastos comercialización</t>
  </si>
  <si>
    <t>Resultado operativo</t>
  </si>
  <si>
    <t>Intereses por deudas</t>
  </si>
  <si>
    <t>Intereses por activos</t>
  </si>
  <si>
    <t>Otros gastos</t>
  </si>
  <si>
    <t>Resultado sujeto a impuestos</t>
  </si>
  <si>
    <t>Impuesto a las ganancias</t>
  </si>
  <si>
    <t>Ingresos extraordinarios</t>
  </si>
  <si>
    <t>Utilidad neta</t>
  </si>
  <si>
    <t>Deuda/Activo total</t>
  </si>
  <si>
    <t>Deuda/Patrimonio neto</t>
  </si>
  <si>
    <t>Liquidez seca</t>
  </si>
  <si>
    <t>Liquidez corriente</t>
  </si>
  <si>
    <t>Días de venta</t>
  </si>
  <si>
    <t>Rotación de inventarios</t>
  </si>
  <si>
    <t>Días de cobranza</t>
  </si>
  <si>
    <t>Rotación de activos fijos</t>
  </si>
  <si>
    <t>Rotación del activo total</t>
  </si>
  <si>
    <t>Días de pago</t>
  </si>
  <si>
    <t>EBIT/Intereses</t>
  </si>
  <si>
    <t>Deudas comerciales</t>
  </si>
  <si>
    <t xml:space="preserve"> % </t>
  </si>
  <si>
    <t>EBIT (1-t)</t>
  </si>
  <si>
    <t>Imp. s/EBIT 35%</t>
  </si>
  <si>
    <t>Capital invertido</t>
  </si>
  <si>
    <t>Capital de trabajo operativo</t>
  </si>
  <si>
    <t>Otros activos operativos</t>
  </si>
  <si>
    <t>Variac.</t>
  </si>
  <si>
    <t xml:space="preserve">           Análisis vertical</t>
  </si>
  <si>
    <t xml:space="preserve">                      Análisis vertical</t>
  </si>
  <si>
    <t>Análisis horizontal</t>
  </si>
  <si>
    <t>Tasa de inflación</t>
  </si>
  <si>
    <t>1997 vs 1996</t>
  </si>
  <si>
    <t>Liquidez</t>
  </si>
  <si>
    <t>Endeudamiento (leverage)</t>
  </si>
  <si>
    <t>Manejo de activos</t>
  </si>
  <si>
    <t>Manejo de pasivos</t>
  </si>
  <si>
    <t>Liquidez corto plazo</t>
  </si>
  <si>
    <t>Otros datos</t>
  </si>
  <si>
    <t>Depreciación 1997</t>
  </si>
  <si>
    <t>Compras 1997</t>
  </si>
  <si>
    <t>Tasa efectiva de impuestos</t>
  </si>
  <si>
    <t>Otros ratios</t>
  </si>
  <si>
    <t>ROIC (ver hoja árbol ROIC)</t>
  </si>
  <si>
    <t>Gastos adm. y comerc.</t>
  </si>
  <si>
    <t>Las inversiones transitorias no fueron consideradas dentro del capital invertido pues no generan EBIT</t>
  </si>
  <si>
    <r>
      <t>Nota</t>
    </r>
    <r>
      <rPr>
        <sz val="10"/>
        <rFont val="Arial"/>
        <family val="0"/>
      </rPr>
      <t>: se consideró que la caja, las cuentas a cobrar, los inventarios, las cuentas a pagar y las deudas sociales y fiscales integran el capital de trabajo operativo.</t>
    </r>
  </si>
  <si>
    <t>Los otros activos operativos contienen créditos impositivos.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</si>
</sst>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9" formatCode="0.0%"/>
    <numFmt numFmtId="190" formatCode="0.0"/>
    <numFmt numFmtId="197" formatCode="0.000"/>
    <numFmt numFmtId="225" formatCode="_(* #,##0_);_(* \(#,##0\);_(* &quot;-&quot;??_);_(@_)"/>
    <numFmt numFmtId="226" formatCode="#,##0\ _€"/>
    <numFmt numFmtId="235" formatCode="_([$€]* #,##0.00_);_([$€]* \(#,##0.00\);_([$€]* &quot;-&quot;??_);_(@_)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 Black"/>
      <family val="2"/>
    </font>
    <font>
      <sz val="10"/>
      <name val="Arial Narrow"/>
      <family val="2"/>
    </font>
    <font>
      <i/>
      <sz val="10"/>
      <color indexed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b/>
      <sz val="2.25"/>
      <name val="Arial"/>
      <family val="0"/>
    </font>
    <font>
      <sz val="1.75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5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Fill="1" applyBorder="1" applyAlignment="1">
      <alignment/>
    </xf>
    <xf numFmtId="1" fontId="0" fillId="2" borderId="1" xfId="0" applyNumberFormat="1" applyFont="1" applyFill="1" applyBorder="1" applyAlignment="1">
      <alignment horizontal="right" shrinkToFit="1"/>
    </xf>
    <xf numFmtId="0" fontId="0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0" fillId="3" borderId="2" xfId="0" applyFont="1" applyFill="1" applyBorder="1" applyAlignment="1">
      <alignment shrinkToFit="1"/>
    </xf>
    <xf numFmtId="1" fontId="1" fillId="2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" fontId="0" fillId="2" borderId="0" xfId="0" applyNumberFormat="1" applyFont="1" applyFill="1" applyBorder="1" applyAlignment="1">
      <alignment shrinkToFit="1"/>
    </xf>
    <xf numFmtId="0" fontId="0" fillId="2" borderId="0" xfId="0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shrinkToFit="1"/>
    </xf>
    <xf numFmtId="1" fontId="0" fillId="2" borderId="0" xfId="0" applyNumberFormat="1" applyFont="1" applyFill="1" applyBorder="1" applyAlignment="1">
      <alignment shrinkToFit="1"/>
    </xf>
    <xf numFmtId="0" fontId="0" fillId="0" borderId="0" xfId="0" applyBorder="1" applyAlignment="1">
      <alignment horizontal="center"/>
    </xf>
    <xf numFmtId="1" fontId="0" fillId="2" borderId="0" xfId="0" applyNumberFormat="1" applyFont="1" applyFill="1" applyBorder="1" applyAlignment="1">
      <alignment horizontal="right" shrinkToFit="1"/>
    </xf>
    <xf numFmtId="0" fontId="6" fillId="3" borderId="2" xfId="0" applyFont="1" applyFill="1" applyBorder="1" applyAlignment="1">
      <alignment horizontal="left" shrinkToFit="1"/>
    </xf>
    <xf numFmtId="0" fontId="0" fillId="3" borderId="0" xfId="0" applyFill="1" applyBorder="1" applyAlignment="1">
      <alignment/>
    </xf>
    <xf numFmtId="0" fontId="4" fillId="3" borderId="0" xfId="0" applyFont="1" applyFill="1" applyAlignment="1">
      <alignment shrinkToFit="1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 shrinkToFit="1"/>
    </xf>
    <xf numFmtId="1" fontId="0" fillId="3" borderId="0" xfId="0" applyNumberFormat="1" applyFill="1" applyBorder="1" applyAlignment="1">
      <alignment/>
    </xf>
    <xf numFmtId="0" fontId="0" fillId="3" borderId="0" xfId="0" applyFill="1" applyAlignment="1">
      <alignment shrinkToFit="1"/>
    </xf>
    <xf numFmtId="9" fontId="0" fillId="3" borderId="0" xfId="23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3" xfId="0" applyFont="1" applyFill="1" applyBorder="1" applyAlignment="1">
      <alignment shrinkToFit="1"/>
    </xf>
    <xf numFmtId="0" fontId="1" fillId="3" borderId="0" xfId="0" applyFont="1" applyFill="1" applyBorder="1" applyAlignment="1">
      <alignment/>
    </xf>
    <xf numFmtId="9" fontId="1" fillId="3" borderId="0" xfId="23" applyFont="1" applyFill="1" applyBorder="1" applyAlignment="1">
      <alignment/>
    </xf>
    <xf numFmtId="190" fontId="0" fillId="3" borderId="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189" fontId="0" fillId="3" borderId="0" xfId="23" applyNumberFormat="1" applyFill="1" applyBorder="1" applyAlignment="1">
      <alignment/>
    </xf>
    <xf numFmtId="10" fontId="0" fillId="3" borderId="0" xfId="23" applyNumberFormat="1" applyFill="1" applyBorder="1" applyAlignment="1">
      <alignment/>
    </xf>
    <xf numFmtId="0" fontId="1" fillId="0" borderId="0" xfId="0" applyFont="1" applyFill="1" applyAlignment="1">
      <alignment shrinkToFit="1"/>
    </xf>
    <xf numFmtId="1" fontId="1" fillId="0" borderId="0" xfId="0" applyNumberFormat="1" applyFont="1" applyFill="1" applyAlignment="1">
      <alignment shrinkToFit="1"/>
    </xf>
    <xf numFmtId="1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shrinkToFit="1"/>
    </xf>
    <xf numFmtId="1" fontId="1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5" fontId="1" fillId="0" borderId="1" xfId="0" applyNumberFormat="1" applyFont="1" applyFill="1" applyBorder="1" applyAlignment="1">
      <alignment horizontal="left" shrinkToFi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left" shrinkToFit="1"/>
    </xf>
    <xf numFmtId="0" fontId="4" fillId="0" borderId="0" xfId="0" applyFont="1" applyFill="1" applyAlignment="1">
      <alignment shrinkToFit="1"/>
    </xf>
    <xf numFmtId="1" fontId="4" fillId="0" borderId="0" xfId="0" applyNumberFormat="1" applyFont="1" applyFill="1" applyAlignment="1">
      <alignment shrinkToFit="1"/>
    </xf>
    <xf numFmtId="1" fontId="4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 shrinkToFit="1"/>
    </xf>
    <xf numFmtId="1" fontId="0" fillId="0" borderId="0" xfId="0" applyNumberFormat="1" applyFill="1" applyAlignment="1">
      <alignment shrinkToFit="1"/>
    </xf>
    <xf numFmtId="0" fontId="0" fillId="0" borderId="0" xfId="0" applyFill="1" applyAlignment="1">
      <alignment/>
    </xf>
    <xf numFmtId="225" fontId="0" fillId="0" borderId="0" xfId="18" applyNumberFormat="1" applyFill="1" applyBorder="1" applyAlignment="1">
      <alignment/>
    </xf>
    <xf numFmtId="225" fontId="0" fillId="0" borderId="0" xfId="18" applyNumberFormat="1" applyAlignment="1">
      <alignment/>
    </xf>
    <xf numFmtId="225" fontId="0" fillId="3" borderId="0" xfId="18" applyNumberFormat="1" applyFill="1" applyBorder="1" applyAlignment="1">
      <alignment/>
    </xf>
    <xf numFmtId="1" fontId="0" fillId="0" borderId="0" xfId="0" applyNumberFormat="1" applyAlignment="1">
      <alignment horizontal="center"/>
    </xf>
    <xf numFmtId="225" fontId="0" fillId="0" borderId="0" xfId="18" applyNumberFormat="1" applyAlignment="1">
      <alignment horizontal="center"/>
    </xf>
    <xf numFmtId="225" fontId="0" fillId="3" borderId="0" xfId="18" applyNumberFormat="1" applyFont="1" applyFill="1" applyBorder="1" applyAlignment="1">
      <alignment horizontal="center"/>
    </xf>
    <xf numFmtId="225" fontId="0" fillId="3" borderId="0" xfId="18" applyNumberFormat="1" applyFill="1" applyBorder="1" applyAlignment="1">
      <alignment horizontal="center"/>
    </xf>
    <xf numFmtId="225" fontId="0" fillId="0" borderId="0" xfId="18" applyNumberFormat="1" applyBorder="1" applyAlignment="1">
      <alignment horizontal="center"/>
    </xf>
    <xf numFmtId="225" fontId="5" fillId="3" borderId="0" xfId="18" applyNumberFormat="1" applyFont="1" applyFill="1" applyBorder="1" applyAlignment="1">
      <alignment horizontal="center"/>
    </xf>
    <xf numFmtId="225" fontId="0" fillId="3" borderId="0" xfId="18" applyNumberFormat="1" applyFill="1" applyAlignment="1">
      <alignment horizontal="center"/>
    </xf>
    <xf numFmtId="225" fontId="0" fillId="3" borderId="0" xfId="18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shrinkToFit="1"/>
    </xf>
    <xf numFmtId="0" fontId="1" fillId="3" borderId="2" xfId="0" applyNumberFormat="1" applyFont="1" applyFill="1" applyBorder="1" applyAlignment="1">
      <alignment horizontal="center" shrinkToFit="1"/>
    </xf>
    <xf numFmtId="0" fontId="1" fillId="3" borderId="1" xfId="0" applyNumberFormat="1" applyFont="1" applyFill="1" applyBorder="1" applyAlignment="1">
      <alignment horizontal="center" shrinkToFit="1"/>
    </xf>
    <xf numFmtId="0" fontId="1" fillId="3" borderId="5" xfId="0" applyNumberFormat="1" applyFont="1" applyFill="1" applyBorder="1" applyAlignment="1">
      <alignment horizontal="center" shrinkToFit="1"/>
    </xf>
    <xf numFmtId="189" fontId="0" fillId="3" borderId="0" xfId="23" applyNumberFormat="1" applyFont="1" applyFill="1" applyBorder="1" applyAlignment="1">
      <alignment horizontal="center"/>
    </xf>
    <xf numFmtId="189" fontId="0" fillId="3" borderId="6" xfId="23" applyNumberFormat="1" applyFont="1" applyFill="1" applyBorder="1" applyAlignment="1">
      <alignment horizontal="center"/>
    </xf>
    <xf numFmtId="225" fontId="0" fillId="0" borderId="1" xfId="18" applyNumberFormat="1" applyFont="1" applyFill="1" applyBorder="1" applyAlignment="1">
      <alignment horizontal="center"/>
    </xf>
    <xf numFmtId="189" fontId="0" fillId="3" borderId="1" xfId="23" applyNumberFormat="1" applyFont="1" applyFill="1" applyBorder="1" applyAlignment="1">
      <alignment horizontal="center"/>
    </xf>
    <xf numFmtId="189" fontId="0" fillId="3" borderId="5" xfId="23" applyNumberFormat="1" applyFont="1" applyFill="1" applyBorder="1" applyAlignment="1">
      <alignment horizontal="center"/>
    </xf>
    <xf numFmtId="225" fontId="0" fillId="0" borderId="4" xfId="18" applyNumberFormat="1" applyFont="1" applyFill="1" applyBorder="1" applyAlignment="1">
      <alignment horizontal="center"/>
    </xf>
    <xf numFmtId="189" fontId="0" fillId="3" borderId="4" xfId="23" applyNumberFormat="1" applyFont="1" applyFill="1" applyBorder="1" applyAlignment="1">
      <alignment horizontal="center"/>
    </xf>
    <xf numFmtId="189" fontId="0" fillId="3" borderId="7" xfId="23" applyNumberFormat="1" applyFont="1" applyFill="1" applyBorder="1" applyAlignment="1">
      <alignment horizontal="center"/>
    </xf>
    <xf numFmtId="225" fontId="0" fillId="0" borderId="0" xfId="18" applyNumberFormat="1" applyFont="1" applyFill="1" applyBorder="1" applyAlignment="1">
      <alignment horizontal="center"/>
    </xf>
    <xf numFmtId="225" fontId="4" fillId="0" borderId="0" xfId="18" applyNumberFormat="1" applyFont="1" applyFill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9" fontId="4" fillId="3" borderId="0" xfId="23" applyNumberFormat="1" applyFont="1" applyFill="1" applyBorder="1" applyAlignment="1">
      <alignment horizontal="center" shrinkToFit="1"/>
    </xf>
    <xf numFmtId="225" fontId="0" fillId="0" borderId="0" xfId="18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225" fontId="0" fillId="0" borderId="0" xfId="18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8" fillId="0" borderId="1" xfId="0" applyNumberFormat="1" applyFont="1" applyFill="1" applyBorder="1" applyAlignment="1">
      <alignment/>
    </xf>
    <xf numFmtId="225" fontId="8" fillId="0" borderId="1" xfId="18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8" fillId="3" borderId="5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shrinkToFit="1"/>
    </xf>
    <xf numFmtId="9" fontId="4" fillId="0" borderId="0" xfId="23" applyNumberFormat="1" applyFont="1" applyFill="1" applyBorder="1" applyAlignment="1">
      <alignment shrinkToFit="1"/>
    </xf>
    <xf numFmtId="225" fontId="4" fillId="0" borderId="0" xfId="18" applyNumberFormat="1" applyFont="1" applyFill="1" applyBorder="1" applyAlignment="1">
      <alignment horizontal="center" shrinkToFit="1"/>
    </xf>
    <xf numFmtId="225" fontId="4" fillId="3" borderId="0" xfId="18" applyNumberFormat="1" applyFont="1" applyFill="1" applyBorder="1" applyAlignment="1">
      <alignment horizontal="center" shrinkToFit="1"/>
    </xf>
    <xf numFmtId="1" fontId="4" fillId="0" borderId="0" xfId="0" applyNumberFormat="1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1" fontId="4" fillId="0" borderId="0" xfId="0" applyNumberFormat="1" applyFont="1" applyFill="1" applyBorder="1" applyAlignment="1">
      <alignment/>
    </xf>
    <xf numFmtId="225" fontId="4" fillId="0" borderId="0" xfId="18" applyNumberFormat="1" applyFont="1" applyFill="1" applyBorder="1" applyAlignment="1">
      <alignment horizontal="center"/>
    </xf>
    <xf numFmtId="225" fontId="4" fillId="3" borderId="0" xfId="18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shrinkToFit="1"/>
    </xf>
    <xf numFmtId="15" fontId="1" fillId="0" borderId="0" xfId="0" applyNumberFormat="1" applyFont="1" applyFill="1" applyBorder="1" applyAlignment="1">
      <alignment shrinkToFit="1"/>
    </xf>
    <xf numFmtId="225" fontId="1" fillId="0" borderId="0" xfId="18" applyNumberFormat="1" applyFont="1" applyFill="1" applyBorder="1" applyAlignment="1">
      <alignment horizontal="center" shrinkToFit="1"/>
    </xf>
    <xf numFmtId="15" fontId="1" fillId="3" borderId="0" xfId="0" applyNumberFormat="1" applyFont="1" applyFill="1" applyBorder="1" applyAlignment="1">
      <alignment horizontal="center" shrinkToFit="1"/>
    </xf>
    <xf numFmtId="225" fontId="1" fillId="3" borderId="0" xfId="18" applyNumberFormat="1" applyFont="1" applyFill="1" applyBorder="1" applyAlignment="1">
      <alignment horizontal="center" shrinkToFit="1"/>
    </xf>
    <xf numFmtId="0" fontId="0" fillId="3" borderId="0" xfId="0" applyFill="1" applyBorder="1" applyAlignment="1">
      <alignment shrinkToFit="1"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shrinkToFit="1"/>
    </xf>
    <xf numFmtId="0" fontId="11" fillId="3" borderId="0" xfId="0" applyFont="1" applyFill="1" applyBorder="1" applyAlignment="1">
      <alignment shrinkToFit="1"/>
    </xf>
    <xf numFmtId="1" fontId="10" fillId="0" borderId="0" xfId="0" applyNumberFormat="1" applyFont="1" applyFill="1" applyBorder="1" applyAlignment="1">
      <alignment/>
    </xf>
    <xf numFmtId="225" fontId="10" fillId="0" borderId="0" xfId="18" applyNumberFormat="1" applyFont="1" applyFill="1" applyBorder="1" applyAlignment="1">
      <alignment horizontal="center"/>
    </xf>
    <xf numFmtId="1" fontId="10" fillId="3" borderId="0" xfId="0" applyNumberFormat="1" applyFont="1" applyFill="1" applyBorder="1" applyAlignment="1">
      <alignment horizontal="center"/>
    </xf>
    <xf numFmtId="225" fontId="10" fillId="3" borderId="0" xfId="18" applyNumberFormat="1" applyFont="1" applyFill="1" applyBorder="1" applyAlignment="1">
      <alignment horizontal="center"/>
    </xf>
    <xf numFmtId="0" fontId="0" fillId="0" borderId="0" xfId="0" applyFill="1" applyBorder="1" applyAlignment="1">
      <alignment shrinkToFit="1"/>
    </xf>
    <xf numFmtId="1" fontId="0" fillId="0" borderId="0" xfId="0" applyNumberFormat="1" applyFill="1" applyBorder="1" applyAlignment="1">
      <alignment shrinkToFit="1"/>
    </xf>
    <xf numFmtId="0" fontId="0" fillId="3" borderId="8" xfId="0" applyFont="1" applyFill="1" applyBorder="1" applyAlignment="1">
      <alignment shrinkToFit="1"/>
    </xf>
    <xf numFmtId="0" fontId="0" fillId="3" borderId="3" xfId="0" applyFont="1" applyFill="1" applyBorder="1" applyAlignment="1">
      <alignment horizontal="left" shrinkToFit="1"/>
    </xf>
    <xf numFmtId="0" fontId="6" fillId="3" borderId="9" xfId="0" applyFont="1" applyFill="1" applyBorder="1" applyAlignment="1">
      <alignment horizontal="left" shrinkToFit="1"/>
    </xf>
    <xf numFmtId="1" fontId="1" fillId="3" borderId="0" xfId="0" applyNumberFormat="1" applyFont="1" applyFill="1" applyBorder="1" applyAlignment="1">
      <alignment horizontal="center" wrapText="1"/>
    </xf>
    <xf numFmtId="1" fontId="10" fillId="3" borderId="0" xfId="0" applyNumberFormat="1" applyFont="1" applyFill="1" applyBorder="1" applyAlignment="1">
      <alignment horizontal="center" wrapText="1"/>
    </xf>
    <xf numFmtId="15" fontId="1" fillId="3" borderId="0" xfId="0" applyNumberFormat="1" applyFon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197" fontId="0" fillId="3" borderId="0" xfId="0" applyNumberForma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10" fontId="0" fillId="3" borderId="0" xfId="23" applyNumberFormat="1" applyFill="1" applyBorder="1" applyAlignment="1">
      <alignment horizontal="center"/>
    </xf>
    <xf numFmtId="189" fontId="0" fillId="3" borderId="0" xfId="23" applyNumberFormat="1" applyFill="1" applyBorder="1" applyAlignment="1">
      <alignment horizontal="center"/>
    </xf>
    <xf numFmtId="1" fontId="24" fillId="3" borderId="0" xfId="0" applyNumberFormat="1" applyFont="1" applyFill="1" applyBorder="1" applyAlignment="1">
      <alignment/>
    </xf>
    <xf numFmtId="0" fontId="1" fillId="3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225" fontId="8" fillId="3" borderId="0" xfId="18" applyNumberFormat="1" applyFont="1" applyFill="1" applyBorder="1" applyAlignment="1">
      <alignment horizontal="center"/>
    </xf>
    <xf numFmtId="225" fontId="8" fillId="3" borderId="0" xfId="18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left" shrinkToFi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Border="1" applyAlignment="1">
      <alignment/>
    </xf>
    <xf numFmtId="225" fontId="1" fillId="3" borderId="0" xfId="18" applyNumberFormat="1" applyFont="1" applyFill="1" applyBorder="1" applyAlignment="1">
      <alignment/>
    </xf>
    <xf numFmtId="189" fontId="0" fillId="0" borderId="3" xfId="23" applyNumberFormat="1" applyFont="1" applyFill="1" applyBorder="1" applyAlignment="1">
      <alignment horizontal="center"/>
    </xf>
    <xf numFmtId="189" fontId="0" fillId="0" borderId="2" xfId="23" applyNumberFormat="1" applyFont="1" applyFill="1" applyBorder="1" applyAlignment="1">
      <alignment horizontal="center"/>
    </xf>
    <xf numFmtId="189" fontId="0" fillId="0" borderId="9" xfId="23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9" fontId="4" fillId="0" borderId="0" xfId="23" applyNumberFormat="1" applyFont="1" applyFill="1" applyBorder="1" applyAlignment="1">
      <alignment horizontal="center" shrinkToFit="1"/>
    </xf>
    <xf numFmtId="225" fontId="0" fillId="0" borderId="0" xfId="18" applyNumberFormat="1" applyFont="1" applyFill="1" applyBorder="1" applyAlignment="1">
      <alignment/>
    </xf>
    <xf numFmtId="0" fontId="24" fillId="3" borderId="0" xfId="0" applyFont="1" applyFill="1" applyBorder="1" applyAlignment="1">
      <alignment/>
    </xf>
    <xf numFmtId="9" fontId="1" fillId="3" borderId="0" xfId="23" applyFont="1" applyFill="1" applyBorder="1" applyAlignment="1">
      <alignment horizontal="center"/>
    </xf>
    <xf numFmtId="9" fontId="0" fillId="3" borderId="0" xfId="23" applyFill="1" applyBorder="1" applyAlignment="1">
      <alignment horizontal="center"/>
    </xf>
    <xf numFmtId="0" fontId="0" fillId="3" borderId="0" xfId="0" applyFont="1" applyFill="1" applyBorder="1" applyAlignment="1">
      <alignment/>
    </xf>
    <xf numFmtId="2" fontId="1" fillId="3" borderId="0" xfId="0" applyNumberFormat="1" applyFont="1" applyFill="1" applyBorder="1" applyAlignment="1">
      <alignment/>
    </xf>
    <xf numFmtId="2" fontId="0" fillId="3" borderId="0" xfId="23" applyNumberFormat="1" applyFill="1" applyBorder="1" applyAlignment="1">
      <alignment/>
    </xf>
    <xf numFmtId="0" fontId="16" fillId="0" borderId="0" xfId="0" applyFont="1" applyAlignment="1">
      <alignment/>
    </xf>
    <xf numFmtId="190" fontId="0" fillId="3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25" fontId="9" fillId="0" borderId="0" xfId="2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225" fontId="22" fillId="0" borderId="0" xfId="2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226" fontId="12" fillId="0" borderId="0" xfId="2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9" fontId="9" fillId="0" borderId="0" xfId="23" applyNumberFormat="1" applyFont="1" applyFill="1" applyBorder="1" applyAlignment="1">
      <alignment horizontal="center"/>
    </xf>
    <xf numFmtId="226" fontId="12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7" fillId="4" borderId="10" xfId="0" applyFont="1" applyFill="1" applyBorder="1" applyAlignment="1">
      <alignment/>
    </xf>
    <xf numFmtId="225" fontId="7" fillId="4" borderId="11" xfId="20" applyNumberFormat="1" applyFont="1" applyFill="1" applyBorder="1" applyAlignment="1">
      <alignment/>
    </xf>
    <xf numFmtId="9" fontId="7" fillId="0" borderId="0" xfId="23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225" fontId="17" fillId="0" borderId="0" xfId="20" applyNumberFormat="1" applyFont="1" applyAlignment="1">
      <alignment/>
    </xf>
    <xf numFmtId="9" fontId="17" fillId="0" borderId="0" xfId="23" applyFont="1" applyAlignment="1">
      <alignment/>
    </xf>
    <xf numFmtId="226" fontId="7" fillId="4" borderId="13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89" fontId="7" fillId="4" borderId="13" xfId="23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189" fontId="17" fillId="0" borderId="0" xfId="23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189" fontId="17" fillId="0" borderId="0" xfId="23" applyNumberFormat="1" applyFont="1" applyAlignment="1">
      <alignment/>
    </xf>
    <xf numFmtId="226" fontId="7" fillId="4" borderId="13" xfId="2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226" fontId="17" fillId="0" borderId="0" xfId="0" applyNumberFormat="1" applyFont="1" applyAlignment="1">
      <alignment/>
    </xf>
    <xf numFmtId="9" fontId="0" fillId="0" borderId="0" xfId="23" applyBorder="1" applyAlignment="1">
      <alignment/>
    </xf>
    <xf numFmtId="0" fontId="16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ECO Valuation Model 2007 Petropack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del EBIT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'Est. resultados'!$B$26:$H$26</c:f>
              <c:numCache>
                <c:ptCount val="2"/>
                <c:pt idx="0">
                  <c:v>1998</c:v>
                </c:pt>
                <c:pt idx="1">
                  <c:v>1999</c:v>
                </c:pt>
              </c:numCache>
            </c:numRef>
          </c:xVal>
          <c:yVal>
            <c:numRef>
              <c:f>'Est. resultados'!$B$27:$H$27</c:f>
              <c:numCache>
                <c:ptCount val="2"/>
                <c:pt idx="0">
                  <c:v>614</c:v>
                </c:pt>
                <c:pt idx="1">
                  <c:v>38017</c:v>
                </c:pt>
              </c:numCache>
            </c:numRef>
          </c:yVal>
          <c:smooth val="1"/>
        </c:ser>
        <c:axId val="17365652"/>
        <c:axId val="22073141"/>
      </c:scatterChart>
      <c:valAx>
        <c:axId val="1736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73141"/>
        <c:crosses val="autoZero"/>
        <c:crossBetween val="midCat"/>
        <c:dispUnits/>
      </c:valAx>
      <c:valAx>
        <c:axId val="22073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656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</xdr:row>
      <xdr:rowOff>9525</xdr:rowOff>
    </xdr:from>
    <xdr:to>
      <xdr:col>15</xdr:col>
      <xdr:colOff>942975</xdr:colOff>
      <xdr:row>5</xdr:row>
      <xdr:rowOff>152400</xdr:rowOff>
    </xdr:to>
    <xdr:sp>
      <xdr:nvSpPr>
        <xdr:cNvPr id="1" name="TextBox 44"/>
        <xdr:cNvSpPr txBox="1">
          <a:spLocks noChangeArrowheads="1"/>
        </xdr:cNvSpPr>
      </xdr:nvSpPr>
      <xdr:spPr>
        <a:xfrm>
          <a:off x="2257425" y="171450"/>
          <a:ext cx="90106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Esta planilla de cálculo contiene los índices financieros principales de Fric Rot que fueron tratados en los ejemplos del capítulo 3 de Finanzas Corporativas, un enfoque latinoamericano (Dumrauf, Alfaomega, 2010).
Los ejemplos contienen el análisis vertical y horizontal del balance y el estado de resultados, los índices financieros y el árbol de rentabilidad ROIC.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152400</xdr:rowOff>
    </xdr:from>
    <xdr:to>
      <xdr:col>5</xdr:col>
      <xdr:colOff>514350</xdr:colOff>
      <xdr:row>41</xdr:row>
      <xdr:rowOff>19050</xdr:rowOff>
    </xdr:to>
    <xdr:graphicFrame>
      <xdr:nvGraphicFramePr>
        <xdr:cNvPr id="1" name="Chart 58"/>
        <xdr:cNvGraphicFramePr/>
      </xdr:nvGraphicFramePr>
      <xdr:xfrm>
        <a:off x="1809750" y="4848225"/>
        <a:ext cx="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1581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3</xdr:row>
      <xdr:rowOff>152400</xdr:rowOff>
    </xdr:from>
    <xdr:to>
      <xdr:col>2</xdr:col>
      <xdr:colOff>238125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1352550" y="74295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3</xdr:row>
      <xdr:rowOff>152400</xdr:rowOff>
    </xdr:from>
    <xdr:to>
      <xdr:col>2</xdr:col>
      <xdr:colOff>238125</xdr:colOff>
      <xdr:row>3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525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12</xdr:row>
      <xdr:rowOff>85725</xdr:rowOff>
    </xdr:from>
    <xdr:to>
      <xdr:col>2</xdr:col>
      <xdr:colOff>238125</xdr:colOff>
      <xdr:row>12</xdr:row>
      <xdr:rowOff>85725</xdr:rowOff>
    </xdr:to>
    <xdr:sp>
      <xdr:nvSpPr>
        <xdr:cNvPr id="4" name="Line 4"/>
        <xdr:cNvSpPr>
          <a:spLocks/>
        </xdr:cNvSpPr>
      </xdr:nvSpPr>
      <xdr:spPr>
        <a:xfrm>
          <a:off x="1352550" y="244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28575</xdr:rowOff>
    </xdr:from>
    <xdr:to>
      <xdr:col>4</xdr:col>
      <xdr:colOff>314325</xdr:colOff>
      <xdr:row>12</xdr:row>
      <xdr:rowOff>28575</xdr:rowOff>
    </xdr:to>
    <xdr:sp>
      <xdr:nvSpPr>
        <xdr:cNvPr id="5" name="Line 5"/>
        <xdr:cNvSpPr>
          <a:spLocks/>
        </xdr:cNvSpPr>
      </xdr:nvSpPr>
      <xdr:spPr>
        <a:xfrm flipV="1">
          <a:off x="2552700" y="23907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10</xdr:row>
      <xdr:rowOff>85725</xdr:rowOff>
    </xdr:from>
    <xdr:to>
      <xdr:col>5</xdr:col>
      <xdr:colOff>0</xdr:colOff>
      <xdr:row>14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2895600" y="2057400"/>
          <a:ext cx="104775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0</xdr:rowOff>
    </xdr:from>
    <xdr:to>
      <xdr:col>4</xdr:col>
      <xdr:colOff>314325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571750" y="7905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</xdr:row>
      <xdr:rowOff>104775</xdr:rowOff>
    </xdr:from>
    <xdr:to>
      <xdr:col>4</xdr:col>
      <xdr:colOff>409575</xdr:colOff>
      <xdr:row>6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2876550" y="295275"/>
          <a:ext cx="85725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</xdr:row>
      <xdr:rowOff>28575</xdr:rowOff>
    </xdr:from>
    <xdr:to>
      <xdr:col>12</xdr:col>
      <xdr:colOff>428625</xdr:colOff>
      <xdr:row>5</xdr:row>
      <xdr:rowOff>171450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7362825" y="419100"/>
          <a:ext cx="3086100" cy="7429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El árbol ROIC permite desagregar los conceptos para ver cómo se llega al resultado operativo después de impuestos y luego éste es vinculado con el capital empleado o invertido para generar dicha rentabilidad.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AM\CONFIG~1\Temp\2006.06.16%20Acquisition%20Series%20B%20Pref%20Shares%20Sensibilid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_DATA_"/>
      <sheetName val="Assumptions"/>
      <sheetName val="Resumen Rdtos"/>
      <sheetName val="Rendimientos"/>
      <sheetName val="Crecimiento"/>
      <sheetName val="Financiamiento sobre Par"/>
      <sheetName val="Financiamiento  Par"/>
      <sheetName val="Financiamiento bajo la Par"/>
      <sheetName val="Situación Actual"/>
      <sheetName val="MktCap"/>
      <sheetName val="MktCap(holding disc)"/>
      <sheetName val="Hoja2"/>
      <sheetName val="Dividends"/>
      <sheetName val="Situación Actual (2)"/>
      <sheetName val="Dividendos (2)"/>
      <sheetName val="Resultados"/>
      <sheetName val="Despesificación"/>
    </sheetNames>
    <sheetDataSet>
      <sheetData sheetId="9">
        <row r="23">
          <cell r="C23">
            <v>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8:AI64"/>
  <sheetViews>
    <sheetView showGridLines="0" workbookViewId="0" topLeftCell="A1">
      <pane xSplit="1" ySplit="11" topLeftCell="G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" sqref="A9"/>
    </sheetView>
  </sheetViews>
  <sheetFormatPr defaultColWidth="11.421875" defaultRowHeight="12.75"/>
  <cols>
    <col min="1" max="1" width="31.28125" style="4" customWidth="1"/>
    <col min="2" max="5" width="10.7109375" style="59" hidden="1" customWidth="1"/>
    <col min="6" max="6" width="10.7109375" style="61" hidden="1" customWidth="1"/>
    <col min="7" max="7" width="14.140625" style="98" customWidth="1"/>
    <col min="8" max="8" width="13.28125" style="98" customWidth="1"/>
    <col min="9" max="11" width="10.7109375" style="13" customWidth="1"/>
    <col min="12" max="22" width="16.00390625" style="13" customWidth="1"/>
    <col min="23" max="33" width="11.421875" style="13" customWidth="1"/>
  </cols>
  <sheetData>
    <row r="8" spans="1:17" ht="12.75">
      <c r="A8" s="3"/>
      <c r="B8" s="40"/>
      <c r="C8" s="40"/>
      <c r="D8" s="40"/>
      <c r="E8" s="41"/>
      <c r="F8" s="42"/>
      <c r="G8" s="73"/>
      <c r="H8" s="73"/>
      <c r="I8" s="65"/>
      <c r="J8" s="65"/>
      <c r="K8" s="65"/>
      <c r="L8" s="65"/>
      <c r="M8" s="65"/>
      <c r="N8" s="65"/>
      <c r="O8" s="65"/>
      <c r="P8" s="65"/>
      <c r="Q8" s="65"/>
    </row>
    <row r="9" spans="1:35" ht="13.5" thickBot="1">
      <c r="A9" s="3" t="s">
        <v>4</v>
      </c>
      <c r="B9" s="43" t="s">
        <v>11</v>
      </c>
      <c r="C9" s="43"/>
      <c r="D9" s="43"/>
      <c r="E9" s="41"/>
      <c r="F9" s="44"/>
      <c r="G9" s="73" t="s">
        <v>11</v>
      </c>
      <c r="H9" s="73"/>
      <c r="I9" s="151" t="s">
        <v>64</v>
      </c>
      <c r="J9" s="65"/>
      <c r="K9" s="65"/>
      <c r="L9" s="145"/>
      <c r="M9" s="145"/>
      <c r="N9" s="30" t="s">
        <v>66</v>
      </c>
      <c r="O9" s="162">
        <v>0.02</v>
      </c>
      <c r="P9" s="145"/>
      <c r="Q9" s="145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"/>
      <c r="AI9" s="1"/>
    </row>
    <row r="10" spans="1:35" ht="16.5" thickBot="1">
      <c r="A10" s="11"/>
      <c r="B10" s="45"/>
      <c r="C10" s="45"/>
      <c r="D10" s="45"/>
      <c r="E10" s="46" t="s">
        <v>3</v>
      </c>
      <c r="F10" s="47"/>
      <c r="G10" s="74"/>
      <c r="H10" s="74"/>
      <c r="I10" s="75"/>
      <c r="J10" s="76"/>
      <c r="K10" s="77"/>
      <c r="L10" s="146"/>
      <c r="M10" s="124" t="s">
        <v>65</v>
      </c>
      <c r="N10" s="119"/>
      <c r="O10" s="119"/>
      <c r="P10" s="124"/>
      <c r="Q10" s="147"/>
      <c r="R10" s="147"/>
      <c r="S10" s="147"/>
      <c r="T10" s="147"/>
      <c r="U10" s="147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"/>
      <c r="AI10" s="1"/>
    </row>
    <row r="11" spans="1:35" ht="13.5" thickBot="1">
      <c r="A11" s="21"/>
      <c r="B11" s="48">
        <v>33603</v>
      </c>
      <c r="C11" s="48">
        <v>33969</v>
      </c>
      <c r="D11" s="48">
        <v>34334</v>
      </c>
      <c r="E11" s="48">
        <v>34699</v>
      </c>
      <c r="F11" s="48">
        <v>35064</v>
      </c>
      <c r="G11" s="78">
        <v>1996</v>
      </c>
      <c r="H11" s="78">
        <v>1997</v>
      </c>
      <c r="I11" s="79">
        <v>1996</v>
      </c>
      <c r="J11" s="80">
        <v>1997</v>
      </c>
      <c r="K11" s="81" t="s">
        <v>30</v>
      </c>
      <c r="L11" s="115"/>
      <c r="M11" s="115" t="s">
        <v>67</v>
      </c>
      <c r="N11" s="115"/>
      <c r="O11" s="115"/>
      <c r="P11" s="115"/>
      <c r="Q11" s="115"/>
      <c r="R11" s="115"/>
      <c r="S11" s="115"/>
      <c r="T11" s="115"/>
      <c r="U11" s="115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"/>
      <c r="AI11" s="1"/>
    </row>
    <row r="12" spans="1:35" ht="12.75">
      <c r="A12" s="128" t="s">
        <v>12</v>
      </c>
      <c r="B12" s="14"/>
      <c r="C12" s="14"/>
      <c r="D12" s="14"/>
      <c r="E12" s="18"/>
      <c r="F12" s="16"/>
      <c r="G12" s="90">
        <v>3009696</v>
      </c>
      <c r="H12" s="90">
        <v>1338156</v>
      </c>
      <c r="I12" s="154">
        <f>+G12/$G$21</f>
        <v>0.10184651492890784</v>
      </c>
      <c r="J12" s="82">
        <f>+H12/$H$21</f>
        <v>0.045166238453110436</v>
      </c>
      <c r="K12" s="83">
        <f>+J12-I12</f>
        <v>-0.0566802764757974</v>
      </c>
      <c r="L12" s="68"/>
      <c r="M12" s="163">
        <f>+H12/(1+$O$9)/G12</f>
        <v>0.43589706304517917</v>
      </c>
      <c r="N12" s="68"/>
      <c r="O12" s="68"/>
      <c r="P12" s="68"/>
      <c r="Q12" s="68"/>
      <c r="R12" s="68"/>
      <c r="S12" s="68"/>
      <c r="T12" s="68"/>
      <c r="U12" s="68"/>
      <c r="V12" s="69"/>
      <c r="W12" s="69"/>
      <c r="X12" s="69"/>
      <c r="Y12" s="19"/>
      <c r="Z12" s="19"/>
      <c r="AA12" s="19"/>
      <c r="AB12" s="19"/>
      <c r="AC12" s="19"/>
      <c r="AD12" s="19"/>
      <c r="AE12" s="19"/>
      <c r="AF12" s="19"/>
      <c r="AG12" s="19"/>
      <c r="AH12" s="1"/>
      <c r="AI12" s="1"/>
    </row>
    <row r="13" spans="1:35" ht="12.75">
      <c r="A13" s="33" t="s">
        <v>13</v>
      </c>
      <c r="B13" s="14"/>
      <c r="C13" s="14"/>
      <c r="D13" s="14"/>
      <c r="E13" s="14"/>
      <c r="F13" s="16"/>
      <c r="G13" s="90">
        <v>4230814</v>
      </c>
      <c r="H13" s="90">
        <v>5155090</v>
      </c>
      <c r="I13" s="154">
        <f>+G13/$G$21</f>
        <v>0.1431684998127493</v>
      </c>
      <c r="J13" s="82">
        <f>+H13/$H$21</f>
        <v>0.17399766857320453</v>
      </c>
      <c r="K13" s="83">
        <f aca="true" t="shared" si="0" ref="K13:K33">+J13-I13</f>
        <v>0.030829168760455244</v>
      </c>
      <c r="L13" s="68"/>
      <c r="M13" s="163">
        <f aca="true" t="shared" si="1" ref="M13:M33">+H13/(1+$O$9)/G13</f>
        <v>1.1945714947340083</v>
      </c>
      <c r="N13" s="67"/>
      <c r="O13" s="67"/>
      <c r="P13" s="67"/>
      <c r="Q13" s="67"/>
      <c r="R13" s="67"/>
      <c r="S13" s="67"/>
      <c r="T13" s="67"/>
      <c r="U13" s="67"/>
      <c r="V13" s="69"/>
      <c r="W13" s="69"/>
      <c r="X13" s="69"/>
      <c r="Y13" s="19"/>
      <c r="Z13" s="19"/>
      <c r="AA13" s="19"/>
      <c r="AB13" s="19"/>
      <c r="AC13" s="19"/>
      <c r="AD13" s="19"/>
      <c r="AE13" s="19"/>
      <c r="AF13" s="19"/>
      <c r="AG13" s="19"/>
      <c r="AH13" s="1"/>
      <c r="AI13" s="1"/>
    </row>
    <row r="14" spans="1:35" ht="12.75">
      <c r="A14" s="33" t="s">
        <v>14</v>
      </c>
      <c r="B14" s="14"/>
      <c r="C14" s="14"/>
      <c r="D14" s="14"/>
      <c r="E14" s="14"/>
      <c r="F14" s="16"/>
      <c r="G14" s="90">
        <v>10785712</v>
      </c>
      <c r="H14" s="90">
        <v>9145087</v>
      </c>
      <c r="I14" s="154">
        <f>+G14/$G$21</f>
        <v>0.36498276843471916</v>
      </c>
      <c r="J14" s="82">
        <f>+H14/$H$21</f>
        <v>0.30867042416313223</v>
      </c>
      <c r="K14" s="83">
        <f t="shared" si="0"/>
        <v>-0.056312344271586934</v>
      </c>
      <c r="L14" s="68"/>
      <c r="M14" s="163">
        <f t="shared" si="1"/>
        <v>0.8312637653061244</v>
      </c>
      <c r="N14" s="68"/>
      <c r="O14" s="68"/>
      <c r="P14" s="68"/>
      <c r="Q14" s="68"/>
      <c r="R14" s="68"/>
      <c r="S14" s="68"/>
      <c r="T14" s="68"/>
      <c r="U14" s="68"/>
      <c r="V14" s="69"/>
      <c r="W14" s="69"/>
      <c r="X14" s="69"/>
      <c r="Y14" s="19"/>
      <c r="Z14" s="19"/>
      <c r="AA14" s="19"/>
      <c r="AB14" s="19"/>
      <c r="AC14" s="19"/>
      <c r="AD14" s="19"/>
      <c r="AE14" s="19"/>
      <c r="AF14" s="19"/>
      <c r="AG14" s="19"/>
      <c r="AH14" s="1"/>
      <c r="AI14" s="1"/>
    </row>
    <row r="15" spans="1:35" ht="12.75">
      <c r="A15" s="33" t="s">
        <v>15</v>
      </c>
      <c r="B15" s="14"/>
      <c r="C15" s="14"/>
      <c r="D15" s="14"/>
      <c r="E15" s="14"/>
      <c r="F15" s="15"/>
      <c r="G15" s="90">
        <v>2492555</v>
      </c>
      <c r="H15" s="90">
        <v>4157134</v>
      </c>
      <c r="I15" s="154">
        <f>+G15/$G$21</f>
        <v>0.08434673801560819</v>
      </c>
      <c r="J15" s="82">
        <f>+H15/$H$21</f>
        <v>0.1403140631776361</v>
      </c>
      <c r="K15" s="83">
        <f t="shared" si="0"/>
        <v>0.0559673251620279</v>
      </c>
      <c r="L15" s="68"/>
      <c r="M15" s="163">
        <f t="shared" si="1"/>
        <v>1.6351180088814292</v>
      </c>
      <c r="N15" s="68"/>
      <c r="O15" s="68"/>
      <c r="P15" s="68"/>
      <c r="Q15" s="68"/>
      <c r="R15" s="68"/>
      <c r="S15" s="68"/>
      <c r="T15" s="68"/>
      <c r="U15" s="68"/>
      <c r="V15" s="69"/>
      <c r="W15" s="69"/>
      <c r="X15" s="69"/>
      <c r="Y15" s="19"/>
      <c r="Z15" s="19"/>
      <c r="AA15" s="19"/>
      <c r="AB15" s="19"/>
      <c r="AC15" s="19"/>
      <c r="AD15" s="19"/>
      <c r="AE15" s="19"/>
      <c r="AF15" s="19"/>
      <c r="AG15" s="19"/>
      <c r="AH15" s="1"/>
      <c r="AI15" s="1"/>
    </row>
    <row r="16" spans="1:35" ht="13.5" thickBot="1">
      <c r="A16" s="33" t="s">
        <v>16</v>
      </c>
      <c r="B16" s="14"/>
      <c r="C16" s="14"/>
      <c r="D16" s="14"/>
      <c r="E16" s="14"/>
      <c r="F16" s="15"/>
      <c r="G16" s="90">
        <v>364906</v>
      </c>
      <c r="H16" s="90">
        <v>427675</v>
      </c>
      <c r="I16" s="154">
        <f>+G16/$G$21</f>
        <v>0.01234822532795606</v>
      </c>
      <c r="J16" s="82">
        <f>+H16/$H$21</f>
        <v>0.014435141366502865</v>
      </c>
      <c r="K16" s="83">
        <f t="shared" si="0"/>
        <v>0.002086916038546804</v>
      </c>
      <c r="L16" s="68"/>
      <c r="M16" s="163">
        <f t="shared" si="1"/>
        <v>1.1490334926975017</v>
      </c>
      <c r="N16" s="67"/>
      <c r="O16" s="67"/>
      <c r="P16" s="67"/>
      <c r="Q16" s="67"/>
      <c r="R16" s="67"/>
      <c r="S16" s="67"/>
      <c r="T16" s="67"/>
      <c r="U16" s="67"/>
      <c r="V16" s="69"/>
      <c r="W16" s="69"/>
      <c r="X16" s="69"/>
      <c r="Y16" s="19"/>
      <c r="Z16" s="19"/>
      <c r="AA16" s="19"/>
      <c r="AB16" s="19"/>
      <c r="AC16" s="19"/>
      <c r="AD16" s="19"/>
      <c r="AE16" s="19"/>
      <c r="AF16" s="19"/>
      <c r="AG16" s="19"/>
      <c r="AH16" s="1"/>
      <c r="AI16" s="1"/>
    </row>
    <row r="17" spans="1:35" ht="13.5" thickBot="1">
      <c r="A17" s="21" t="s">
        <v>17</v>
      </c>
      <c r="B17" s="49">
        <f>SUM(B12:B16)</f>
        <v>0</v>
      </c>
      <c r="C17" s="49">
        <f aca="true" t="shared" si="2" ref="C17:H17">SUM(C12:C16)</f>
        <v>0</v>
      </c>
      <c r="D17" s="50">
        <f t="shared" si="2"/>
        <v>0</v>
      </c>
      <c r="E17" s="50">
        <f t="shared" si="2"/>
        <v>0</v>
      </c>
      <c r="F17" s="50">
        <f t="shared" si="2"/>
        <v>0</v>
      </c>
      <c r="G17" s="84">
        <f t="shared" si="2"/>
        <v>20883683</v>
      </c>
      <c r="H17" s="84">
        <f t="shared" si="2"/>
        <v>20223142</v>
      </c>
      <c r="I17" s="155">
        <f>+G17/$G$21</f>
        <v>0.7066927465199405</v>
      </c>
      <c r="J17" s="85">
        <f>+H17/$H$21</f>
        <v>0.6825835357335862</v>
      </c>
      <c r="K17" s="86">
        <f t="shared" si="0"/>
        <v>-0.024109210786354307</v>
      </c>
      <c r="L17" s="67"/>
      <c r="M17" s="163">
        <f t="shared" si="1"/>
        <v>0.9493828173853036</v>
      </c>
      <c r="N17" s="67"/>
      <c r="O17" s="67"/>
      <c r="P17" s="67"/>
      <c r="Q17" s="67"/>
      <c r="R17" s="67"/>
      <c r="S17" s="67"/>
      <c r="T17" s="67"/>
      <c r="U17" s="67"/>
      <c r="V17" s="69"/>
      <c r="W17" s="69"/>
      <c r="X17" s="69"/>
      <c r="Y17" s="145"/>
      <c r="Z17" s="145"/>
      <c r="AA17" s="145"/>
      <c r="AB17" s="145"/>
      <c r="AC17" s="19"/>
      <c r="AD17" s="19"/>
      <c r="AE17" s="19"/>
      <c r="AF17" s="19"/>
      <c r="AG17" s="19"/>
      <c r="AH17" s="1"/>
      <c r="AI17" s="1"/>
    </row>
    <row r="18" spans="1:35" ht="12.75">
      <c r="A18" s="33" t="s">
        <v>18</v>
      </c>
      <c r="B18" s="14"/>
      <c r="C18" s="14"/>
      <c r="D18" s="14"/>
      <c r="E18" s="14"/>
      <c r="F18" s="15"/>
      <c r="G18" s="90">
        <v>8477450</v>
      </c>
      <c r="H18" s="90">
        <v>9394359</v>
      </c>
      <c r="I18" s="154">
        <f>+G18/$G$21</f>
        <v>0.28687240770631645</v>
      </c>
      <c r="J18" s="82">
        <f>+H18/$H$21</f>
        <v>0.3170840011987572</v>
      </c>
      <c r="K18" s="83">
        <f t="shared" si="0"/>
        <v>0.030211593492440736</v>
      </c>
      <c r="L18" s="67"/>
      <c r="M18" s="163">
        <f t="shared" si="1"/>
        <v>1.086429985709493</v>
      </c>
      <c r="N18" s="67"/>
      <c r="O18" s="67"/>
      <c r="P18" s="67"/>
      <c r="Q18" s="67"/>
      <c r="R18" s="67"/>
      <c r="S18" s="67"/>
      <c r="T18" s="67"/>
      <c r="U18" s="67"/>
      <c r="V18" s="69"/>
      <c r="W18" s="69"/>
      <c r="X18" s="69"/>
      <c r="Y18" s="145"/>
      <c r="Z18" s="145"/>
      <c r="AA18" s="145"/>
      <c r="AB18" s="145"/>
      <c r="AC18" s="19"/>
      <c r="AD18" s="19"/>
      <c r="AE18" s="19"/>
      <c r="AF18" s="19"/>
      <c r="AG18" s="19"/>
      <c r="AH18" s="1"/>
      <c r="AI18" s="1"/>
    </row>
    <row r="19" spans="1:35" ht="13.5" thickBot="1">
      <c r="A19" s="129" t="s">
        <v>19</v>
      </c>
      <c r="B19" s="20"/>
      <c r="C19" s="20"/>
      <c r="D19" s="20"/>
      <c r="E19" s="20"/>
      <c r="F19" s="15"/>
      <c r="G19" s="90">
        <f>187875+2283</f>
        <v>190158</v>
      </c>
      <c r="H19" s="90">
        <f>8710+1140</f>
        <v>9850</v>
      </c>
      <c r="I19" s="154">
        <f>+G19/$G$21</f>
        <v>0.006434845773743015</v>
      </c>
      <c r="J19" s="82">
        <f>+H19/$H$21</f>
        <v>0.0003324630676566393</v>
      </c>
      <c r="K19" s="83">
        <f t="shared" si="0"/>
        <v>-0.006102382706086375</v>
      </c>
      <c r="L19" s="68"/>
      <c r="M19" s="163">
        <f t="shared" si="1"/>
        <v>0.050783363019689096</v>
      </c>
      <c r="N19" s="67"/>
      <c r="O19" s="67"/>
      <c r="P19" s="67"/>
      <c r="Q19" s="67"/>
      <c r="R19" s="67"/>
      <c r="S19" s="67"/>
      <c r="T19" s="67"/>
      <c r="U19" s="67"/>
      <c r="V19" s="69"/>
      <c r="W19" s="69"/>
      <c r="X19" s="69"/>
      <c r="Y19" s="145"/>
      <c r="Z19" s="145"/>
      <c r="AA19" s="145"/>
      <c r="AB19" s="145"/>
      <c r="AC19" s="19"/>
      <c r="AD19" s="19"/>
      <c r="AE19" s="19"/>
      <c r="AF19" s="19"/>
      <c r="AG19" s="19"/>
      <c r="AH19" s="1"/>
      <c r="AI19" s="1"/>
    </row>
    <row r="20" spans="1:35" ht="13.5" thickBot="1">
      <c r="A20" s="21" t="s">
        <v>20</v>
      </c>
      <c r="B20" s="49">
        <f>SUM(B18:B19)</f>
        <v>0</v>
      </c>
      <c r="C20" s="49">
        <f>SUM(C18:C19)</f>
        <v>0</v>
      </c>
      <c r="D20" s="49">
        <f>SUM(D18:D19)</f>
        <v>0</v>
      </c>
      <c r="E20" s="49">
        <f>SUM(E18:E19)</f>
        <v>0</v>
      </c>
      <c r="F20" s="49">
        <f>SUM(F18:F19)</f>
        <v>0</v>
      </c>
      <c r="G20" s="84">
        <f>SUM(G18:G19)</f>
        <v>8667608</v>
      </c>
      <c r="H20" s="84">
        <f>SUM(H18:H19)</f>
        <v>9404209</v>
      </c>
      <c r="I20" s="155">
        <f>+G20/$G$21</f>
        <v>0.2933072534800595</v>
      </c>
      <c r="J20" s="85">
        <f>+H20/$H$21</f>
        <v>0.31741646426641384</v>
      </c>
      <c r="K20" s="86">
        <f t="shared" si="0"/>
        <v>0.024109210786354363</v>
      </c>
      <c r="L20" s="68"/>
      <c r="M20" s="163">
        <f t="shared" si="1"/>
        <v>1.0637090123478172</v>
      </c>
      <c r="N20" s="67"/>
      <c r="O20" s="67"/>
      <c r="P20" s="67"/>
      <c r="Q20" s="67"/>
      <c r="R20" s="67"/>
      <c r="S20" s="67"/>
      <c r="T20" s="67"/>
      <c r="U20" s="67"/>
      <c r="V20" s="69"/>
      <c r="W20" s="69"/>
      <c r="X20" s="69"/>
      <c r="Y20" s="19"/>
      <c r="Z20" s="19"/>
      <c r="AA20" s="19"/>
      <c r="AB20" s="19"/>
      <c r="AC20" s="19"/>
      <c r="AD20" s="19"/>
      <c r="AE20" s="19"/>
      <c r="AF20" s="19"/>
      <c r="AG20" s="19"/>
      <c r="AH20" s="1"/>
      <c r="AI20" s="1"/>
    </row>
    <row r="21" spans="1:35" ht="13.5" thickBot="1">
      <c r="A21" s="130" t="s">
        <v>9</v>
      </c>
      <c r="B21" s="51">
        <f>B17+B20</f>
        <v>0</v>
      </c>
      <c r="C21" s="51">
        <f>C17+C20</f>
        <v>0</v>
      </c>
      <c r="D21" s="51">
        <f>D17+D20</f>
        <v>0</v>
      </c>
      <c r="E21" s="51">
        <f>E17+E20</f>
        <v>0</v>
      </c>
      <c r="F21" s="51">
        <f>F17+F20</f>
        <v>0</v>
      </c>
      <c r="G21" s="87">
        <f>G17+G20</f>
        <v>29551291</v>
      </c>
      <c r="H21" s="87">
        <f>H17+H20</f>
        <v>29627351</v>
      </c>
      <c r="I21" s="155">
        <f>+G21/$G$21</f>
        <v>1</v>
      </c>
      <c r="J21" s="85">
        <f>+H21/$H$21</f>
        <v>1</v>
      </c>
      <c r="K21" s="86">
        <f t="shared" si="0"/>
        <v>0</v>
      </c>
      <c r="L21" s="68"/>
      <c r="M21" s="163">
        <f t="shared" si="1"/>
        <v>0.9829155196305843</v>
      </c>
      <c r="N21" s="67"/>
      <c r="O21" s="67"/>
      <c r="P21" s="67"/>
      <c r="Q21" s="67"/>
      <c r="R21" s="67"/>
      <c r="S21" s="67"/>
      <c r="T21" s="67"/>
      <c r="U21" s="67"/>
      <c r="V21" s="69"/>
      <c r="W21" s="69"/>
      <c r="X21" s="69"/>
      <c r="Y21" s="19"/>
      <c r="Z21" s="19"/>
      <c r="AA21" s="19"/>
      <c r="AB21" s="19"/>
      <c r="AC21" s="19"/>
      <c r="AD21" s="19"/>
      <c r="AE21" s="19"/>
      <c r="AF21" s="19"/>
      <c r="AG21" s="19"/>
      <c r="AH21" s="1"/>
      <c r="AI21" s="1"/>
    </row>
    <row r="22" spans="1:35" ht="12.75">
      <c r="A22" s="33" t="s">
        <v>55</v>
      </c>
      <c r="B22" s="14"/>
      <c r="C22" s="14"/>
      <c r="D22" s="14"/>
      <c r="E22" s="14"/>
      <c r="F22" s="15"/>
      <c r="G22" s="90">
        <v>3489866</v>
      </c>
      <c r="H22" s="90">
        <v>4552447</v>
      </c>
      <c r="I22" s="154">
        <f>+G22/$G$33</f>
        <v>0.11809521282843446</v>
      </c>
      <c r="J22" s="82">
        <f>+H22/$H$33</f>
        <v>0.1536569030420573</v>
      </c>
      <c r="K22" s="83">
        <f t="shared" si="0"/>
        <v>0.03556169021362285</v>
      </c>
      <c r="L22" s="68"/>
      <c r="M22" s="163">
        <f t="shared" si="1"/>
        <v>1.278898196473255</v>
      </c>
      <c r="N22" s="68"/>
      <c r="O22" s="68"/>
      <c r="P22" s="68"/>
      <c r="Q22" s="68"/>
      <c r="R22" s="68"/>
      <c r="S22" s="68"/>
      <c r="T22" s="68"/>
      <c r="U22" s="68"/>
      <c r="V22" s="69"/>
      <c r="W22" s="69"/>
      <c r="X22" s="69"/>
      <c r="Y22" s="19"/>
      <c r="Z22" s="19"/>
      <c r="AA22" s="19"/>
      <c r="AB22" s="19"/>
      <c r="AC22" s="19"/>
      <c r="AD22" s="19"/>
      <c r="AE22" s="19"/>
      <c r="AF22" s="19"/>
      <c r="AG22" s="19"/>
      <c r="AH22" s="1"/>
      <c r="AI22" s="1"/>
    </row>
    <row r="23" spans="1:35" ht="12.75">
      <c r="A23" s="33" t="s">
        <v>21</v>
      </c>
      <c r="B23" s="14"/>
      <c r="C23" s="14"/>
      <c r="D23" s="14"/>
      <c r="E23" s="14"/>
      <c r="F23" s="15"/>
      <c r="G23" s="90">
        <v>1004965</v>
      </c>
      <c r="H23" s="90">
        <v>522464</v>
      </c>
      <c r="I23" s="154">
        <f>+G23/$G$33</f>
        <v>0.03400748210966485</v>
      </c>
      <c r="J23" s="82">
        <f>+H23/$H$33</f>
        <v>0.01763451616042217</v>
      </c>
      <c r="K23" s="83">
        <f t="shared" si="0"/>
        <v>-0.01637296594924268</v>
      </c>
      <c r="L23" s="68"/>
      <c r="M23" s="163">
        <f t="shared" si="1"/>
        <v>0.5096890019484631</v>
      </c>
      <c r="N23" s="68"/>
      <c r="O23" s="68"/>
      <c r="P23" s="68"/>
      <c r="Q23" s="68"/>
      <c r="R23" s="68"/>
      <c r="S23" s="68"/>
      <c r="T23" s="68"/>
      <c r="U23" s="68"/>
      <c r="V23" s="69"/>
      <c r="W23" s="69"/>
      <c r="X23" s="69"/>
      <c r="Y23" s="19"/>
      <c r="Z23" s="19"/>
      <c r="AA23" s="19"/>
      <c r="AB23" s="19"/>
      <c r="AC23" s="19"/>
      <c r="AD23" s="19"/>
      <c r="AE23" s="19"/>
      <c r="AF23" s="19"/>
      <c r="AG23" s="19"/>
      <c r="AH23" s="1"/>
      <c r="AI23" s="1"/>
    </row>
    <row r="24" spans="1:35" ht="12.75">
      <c r="A24" s="33" t="s">
        <v>22</v>
      </c>
      <c r="B24" s="14"/>
      <c r="C24" s="14"/>
      <c r="D24" s="14"/>
      <c r="E24" s="14"/>
      <c r="F24" s="15"/>
      <c r="G24" s="90">
        <f>602727+1886340</f>
        <v>2489067</v>
      </c>
      <c r="H24" s="90">
        <f>614224+444796</f>
        <v>1059020</v>
      </c>
      <c r="I24" s="154">
        <f>+G24/$G$33</f>
        <v>0.08422870594722917</v>
      </c>
      <c r="J24" s="82">
        <f>+H24/$H$33</f>
        <v>0.035744673899465396</v>
      </c>
      <c r="K24" s="83">
        <f t="shared" si="0"/>
        <v>-0.048484032047763775</v>
      </c>
      <c r="L24" s="68"/>
      <c r="M24" s="163">
        <f t="shared" si="1"/>
        <v>0.4171261368057928</v>
      </c>
      <c r="N24" s="68"/>
      <c r="O24" s="68"/>
      <c r="P24" s="68"/>
      <c r="Q24" s="68"/>
      <c r="R24" s="68"/>
      <c r="S24" s="68"/>
      <c r="T24" s="68"/>
      <c r="U24" s="68"/>
      <c r="V24" s="69"/>
      <c r="W24" s="69"/>
      <c r="X24" s="69"/>
      <c r="Y24" s="19"/>
      <c r="Z24" s="19"/>
      <c r="AA24" s="19"/>
      <c r="AB24" s="19"/>
      <c r="AC24" s="19"/>
      <c r="AD24" s="19"/>
      <c r="AE24" s="19"/>
      <c r="AF24" s="19"/>
      <c r="AG24" s="19"/>
      <c r="AH24" s="1"/>
      <c r="AI24" s="1"/>
    </row>
    <row r="25" spans="1:35" ht="13.5" thickBot="1">
      <c r="A25" s="33" t="s">
        <v>23</v>
      </c>
      <c r="B25" s="14"/>
      <c r="C25" s="14"/>
      <c r="D25" s="17"/>
      <c r="E25" s="14"/>
      <c r="F25" s="15"/>
      <c r="G25" s="90">
        <v>189201</v>
      </c>
      <c r="H25" s="90">
        <v>184148</v>
      </c>
      <c r="I25" s="154">
        <f>+G25/$G$33</f>
        <v>0.006402461401770907</v>
      </c>
      <c r="J25" s="82">
        <f>+H25/$H$33</f>
        <v>0.006215472993181199</v>
      </c>
      <c r="K25" s="83">
        <f t="shared" si="0"/>
        <v>-0.00018698840858970799</v>
      </c>
      <c r="L25" s="68"/>
      <c r="M25" s="163">
        <f t="shared" si="1"/>
        <v>0.9542087774481148</v>
      </c>
      <c r="N25" s="68"/>
      <c r="O25" s="68"/>
      <c r="P25" s="68"/>
      <c r="Q25" s="68"/>
      <c r="R25" s="68"/>
      <c r="S25" s="68"/>
      <c r="T25" s="68"/>
      <c r="U25" s="68"/>
      <c r="V25" s="69"/>
      <c r="W25" s="69"/>
      <c r="X25" s="69"/>
      <c r="Y25" s="19"/>
      <c r="Z25" s="19"/>
      <c r="AA25" s="19"/>
      <c r="AB25" s="19"/>
      <c r="AC25" s="19"/>
      <c r="AD25" s="19"/>
      <c r="AE25" s="19"/>
      <c r="AF25" s="19"/>
      <c r="AG25" s="19"/>
      <c r="AH25" s="1"/>
      <c r="AI25" s="1"/>
    </row>
    <row r="26" spans="1:35" ht="13.5" thickBot="1">
      <c r="A26" s="21" t="s">
        <v>24</v>
      </c>
      <c r="B26" s="49">
        <f>SUM(B22:B25)</f>
        <v>0</v>
      </c>
      <c r="C26" s="49">
        <f>SUM(C22:C25)</f>
        <v>0</v>
      </c>
      <c r="D26" s="49">
        <f>SUM(D22:D25)</f>
        <v>0</v>
      </c>
      <c r="E26" s="49">
        <f>SUM(E22:E25)</f>
        <v>0</v>
      </c>
      <c r="F26" s="49">
        <f>SUM(F22:F25)</f>
        <v>0</v>
      </c>
      <c r="G26" s="84">
        <f>SUM(G22:G25)</f>
        <v>7173099</v>
      </c>
      <c r="H26" s="84">
        <f>SUM(H22:H25)</f>
        <v>6318079</v>
      </c>
      <c r="I26" s="155">
        <f>+G26/$G$33</f>
        <v>0.2427338622870994</v>
      </c>
      <c r="J26" s="85">
        <f>+H26/$H$33</f>
        <v>0.21325156609512608</v>
      </c>
      <c r="K26" s="86">
        <f t="shared" si="0"/>
        <v>-0.029482296191973317</v>
      </c>
      <c r="L26" s="68"/>
      <c r="M26" s="163">
        <f t="shared" si="1"/>
        <v>0.8635312433355814</v>
      </c>
      <c r="N26" s="67"/>
      <c r="O26" s="67"/>
      <c r="P26" s="67"/>
      <c r="Q26" s="67"/>
      <c r="R26" s="67"/>
      <c r="S26" s="67"/>
      <c r="T26" s="67"/>
      <c r="U26" s="67"/>
      <c r="V26" s="69"/>
      <c r="W26" s="69"/>
      <c r="X26" s="69"/>
      <c r="Y26" s="19"/>
      <c r="Z26" s="19"/>
      <c r="AA26" s="19"/>
      <c r="AB26" s="19"/>
      <c r="AC26" s="19"/>
      <c r="AD26" s="19"/>
      <c r="AE26" s="19"/>
      <c r="AF26" s="19"/>
      <c r="AG26" s="19"/>
      <c r="AH26" s="1"/>
      <c r="AI26" s="1"/>
    </row>
    <row r="27" spans="1:35" ht="12.75">
      <c r="A27" s="33" t="s">
        <v>23</v>
      </c>
      <c r="B27" s="14"/>
      <c r="C27" s="14"/>
      <c r="D27" s="14"/>
      <c r="E27" s="14"/>
      <c r="F27" s="15"/>
      <c r="G27" s="90">
        <v>178699</v>
      </c>
      <c r="H27" s="90"/>
      <c r="I27" s="154">
        <f>+G27/$G$33</f>
        <v>0.006047079296806356</v>
      </c>
      <c r="J27" s="82">
        <f>+H27/$H$33</f>
        <v>0</v>
      </c>
      <c r="K27" s="83">
        <f t="shared" si="0"/>
        <v>-0.006047079296806356</v>
      </c>
      <c r="L27" s="67"/>
      <c r="M27" s="163">
        <f t="shared" si="1"/>
        <v>0</v>
      </c>
      <c r="N27" s="67"/>
      <c r="O27" s="67"/>
      <c r="P27" s="67"/>
      <c r="Q27" s="67"/>
      <c r="R27" s="67"/>
      <c r="S27" s="67"/>
      <c r="T27" s="67"/>
      <c r="U27" s="67"/>
      <c r="V27" s="69"/>
      <c r="W27" s="69"/>
      <c r="X27" s="69"/>
      <c r="Y27" s="19"/>
      <c r="Z27" s="19"/>
      <c r="AA27" s="19"/>
      <c r="AB27" s="19"/>
      <c r="AC27" s="19"/>
      <c r="AD27" s="19"/>
      <c r="AE27" s="19"/>
      <c r="AF27" s="19"/>
      <c r="AG27" s="19"/>
      <c r="AH27" s="1"/>
      <c r="AI27" s="1"/>
    </row>
    <row r="28" spans="1:35" ht="13.5" thickBot="1">
      <c r="A28" s="33" t="s">
        <v>25</v>
      </c>
      <c r="B28" s="14"/>
      <c r="C28" s="14"/>
      <c r="D28" s="14"/>
      <c r="E28" s="14"/>
      <c r="F28" s="15"/>
      <c r="G28" s="90">
        <v>763214</v>
      </c>
      <c r="H28" s="90">
        <v>790539</v>
      </c>
      <c r="I28" s="154">
        <f>+G28/$G$33</f>
        <v>0.025826756604305376</v>
      </c>
      <c r="J28" s="82">
        <f>+H28/$H$33</f>
        <v>0.026682743253016443</v>
      </c>
      <c r="K28" s="83">
        <f t="shared" si="0"/>
        <v>0.0008559866487110671</v>
      </c>
      <c r="L28" s="68"/>
      <c r="M28" s="163">
        <f t="shared" si="1"/>
        <v>1.0154926865782306</v>
      </c>
      <c r="N28" s="67"/>
      <c r="O28" s="67"/>
      <c r="P28" s="67"/>
      <c r="Q28" s="67"/>
      <c r="R28" s="67"/>
      <c r="S28" s="67"/>
      <c r="T28" s="67"/>
      <c r="U28" s="67"/>
      <c r="V28" s="69"/>
      <c r="W28" s="69"/>
      <c r="X28" s="69"/>
      <c r="Y28" s="19"/>
      <c r="Z28" s="19"/>
      <c r="AA28" s="19"/>
      <c r="AB28" s="19"/>
      <c r="AC28" s="19"/>
      <c r="AD28" s="19"/>
      <c r="AE28" s="19"/>
      <c r="AF28" s="19"/>
      <c r="AG28" s="19"/>
      <c r="AH28" s="1"/>
      <c r="AI28" s="1"/>
    </row>
    <row r="29" spans="1:35" ht="13.5" thickBot="1">
      <c r="A29" s="21" t="s">
        <v>26</v>
      </c>
      <c r="B29" s="49">
        <f>SUM(B27:B28)</f>
        <v>0</v>
      </c>
      <c r="C29" s="49">
        <f>SUM(C27:C28)</f>
        <v>0</v>
      </c>
      <c r="D29" s="49">
        <f>SUM(D27:D28)</f>
        <v>0</v>
      </c>
      <c r="E29" s="49">
        <f>SUM(E27:E28)</f>
        <v>0</v>
      </c>
      <c r="F29" s="49">
        <f>SUM(F27:F28)</f>
        <v>0</v>
      </c>
      <c r="G29" s="84">
        <f>SUM(G27:G28)</f>
        <v>941913</v>
      </c>
      <c r="H29" s="84">
        <f>SUM(H27:H28)</f>
        <v>790539</v>
      </c>
      <c r="I29" s="155">
        <f>+G29/$G$33</f>
        <v>0.03187383590111173</v>
      </c>
      <c r="J29" s="85">
        <f>+H29/$H$33</f>
        <v>0.026682743253016443</v>
      </c>
      <c r="K29" s="86">
        <f t="shared" si="0"/>
        <v>-0.005191092648095287</v>
      </c>
      <c r="L29" s="68"/>
      <c r="M29" s="163">
        <f t="shared" si="1"/>
        <v>0.8228342058068182</v>
      </c>
      <c r="N29" s="67"/>
      <c r="O29" s="67"/>
      <c r="P29" s="67"/>
      <c r="Q29" s="67"/>
      <c r="R29" s="67"/>
      <c r="S29" s="67"/>
      <c r="T29" s="67"/>
      <c r="U29" s="67"/>
      <c r="V29" s="69"/>
      <c r="W29" s="69"/>
      <c r="X29" s="69"/>
      <c r="Y29" s="19"/>
      <c r="Z29" s="19"/>
      <c r="AA29" s="19"/>
      <c r="AB29" s="19"/>
      <c r="AC29" s="19"/>
      <c r="AD29" s="19"/>
      <c r="AE29" s="19"/>
      <c r="AF29" s="19"/>
      <c r="AG29" s="19"/>
      <c r="AH29" s="1"/>
      <c r="AI29" s="1"/>
    </row>
    <row r="30" spans="1:33" s="1" customFormat="1" ht="13.5" thickBot="1">
      <c r="A30" s="21" t="s">
        <v>27</v>
      </c>
      <c r="B30" s="49">
        <f>SUM(B26+B29)</f>
        <v>0</v>
      </c>
      <c r="C30" s="49">
        <f>SUM(C26+C29)</f>
        <v>0</v>
      </c>
      <c r="D30" s="49">
        <f>SUM(D26+D29)</f>
        <v>0</v>
      </c>
      <c r="E30" s="49">
        <f>SUM(E26+E29)</f>
        <v>0</v>
      </c>
      <c r="F30" s="49">
        <f>SUM(F26+F29)</f>
        <v>0</v>
      </c>
      <c r="G30" s="84">
        <f>SUM(G26+G29)</f>
        <v>8115012</v>
      </c>
      <c r="H30" s="84">
        <f>SUM(H26+H29)</f>
        <v>7108618</v>
      </c>
      <c r="I30" s="156">
        <f>+G30/$G$33</f>
        <v>0.2746076981882111</v>
      </c>
      <c r="J30" s="88">
        <f>+H30/$H$33</f>
        <v>0.23993430934814253</v>
      </c>
      <c r="K30" s="89">
        <f t="shared" si="0"/>
        <v>-0.0346733888400686</v>
      </c>
      <c r="L30" s="68"/>
      <c r="M30" s="163">
        <f t="shared" si="1"/>
        <v>0.8588075203503498</v>
      </c>
      <c r="N30" s="67"/>
      <c r="O30" s="67"/>
      <c r="P30" s="70"/>
      <c r="Q30" s="70"/>
      <c r="R30" s="70"/>
      <c r="S30" s="70"/>
      <c r="T30" s="70"/>
      <c r="U30" s="70"/>
      <c r="V30" s="69"/>
      <c r="W30" s="69"/>
      <c r="X30" s="6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5" ht="13.5" thickBot="1">
      <c r="A31" s="150"/>
      <c r="B31" s="53"/>
      <c r="C31" s="53"/>
      <c r="D31" s="53"/>
      <c r="E31" s="53"/>
      <c r="F31" s="52"/>
      <c r="G31" s="90"/>
      <c r="H31" s="90"/>
      <c r="I31" s="154">
        <f>+G31/$G$33</f>
        <v>0</v>
      </c>
      <c r="J31" s="82">
        <f>+H31/$H$33</f>
        <v>0</v>
      </c>
      <c r="K31" s="83">
        <f t="shared" si="0"/>
        <v>0</v>
      </c>
      <c r="L31" s="68"/>
      <c r="M31" s="163"/>
      <c r="N31" s="67"/>
      <c r="O31" s="67"/>
      <c r="P31" s="70"/>
      <c r="Q31" s="70"/>
      <c r="R31" s="70"/>
      <c r="S31" s="70"/>
      <c r="T31" s="70"/>
      <c r="U31" s="70"/>
      <c r="V31" s="69"/>
      <c r="W31" s="69"/>
      <c r="X31" s="69"/>
      <c r="Y31" s="19"/>
      <c r="Z31" s="19"/>
      <c r="AA31" s="19"/>
      <c r="AB31" s="19"/>
      <c r="AC31" s="19"/>
      <c r="AD31" s="19"/>
      <c r="AE31" s="19"/>
      <c r="AF31" s="19"/>
      <c r="AG31" s="19"/>
      <c r="AH31" s="1"/>
      <c r="AI31" s="1"/>
    </row>
    <row r="32" spans="1:35" ht="13.5" thickBot="1">
      <c r="A32" s="21" t="s">
        <v>28</v>
      </c>
      <c r="B32" s="6"/>
      <c r="C32" s="6"/>
      <c r="D32" s="6"/>
      <c r="E32" s="6"/>
      <c r="F32" s="7"/>
      <c r="G32" s="84">
        <v>21436279</v>
      </c>
      <c r="H32" s="84">
        <v>22518733</v>
      </c>
      <c r="I32" s="155">
        <f>+G32/$G$33</f>
        <v>0.7253923018117888</v>
      </c>
      <c r="J32" s="85">
        <f>+H32/$H$33</f>
        <v>0.7600656906518575</v>
      </c>
      <c r="K32" s="86">
        <f t="shared" si="0"/>
        <v>0.03467338884006865</v>
      </c>
      <c r="L32" s="67"/>
      <c r="M32" s="163">
        <f t="shared" si="1"/>
        <v>1.02989838934669</v>
      </c>
      <c r="N32" s="67"/>
      <c r="O32" s="67"/>
      <c r="P32" s="67"/>
      <c r="Q32" s="67"/>
      <c r="R32" s="67"/>
      <c r="S32" s="67"/>
      <c r="T32" s="67"/>
      <c r="U32" s="67"/>
      <c r="V32" s="69"/>
      <c r="W32" s="69"/>
      <c r="X32" s="69"/>
      <c r="Y32" s="19"/>
      <c r="Z32" s="19"/>
      <c r="AA32" s="19"/>
      <c r="AB32" s="19"/>
      <c r="AC32" s="19"/>
      <c r="AD32" s="19"/>
      <c r="AE32" s="19"/>
      <c r="AF32" s="19"/>
      <c r="AG32" s="19"/>
      <c r="AH32" s="1"/>
      <c r="AI32" s="1"/>
    </row>
    <row r="33" spans="1:35" ht="13.5" thickBot="1">
      <c r="A33" s="130" t="s">
        <v>29</v>
      </c>
      <c r="B33" s="51">
        <f>B30+B32</f>
        <v>0</v>
      </c>
      <c r="C33" s="51">
        <f>C30+C32</f>
        <v>0</v>
      </c>
      <c r="D33" s="51">
        <f>D30+D32</f>
        <v>0</v>
      </c>
      <c r="E33" s="51">
        <f>E30+E32</f>
        <v>0</v>
      </c>
      <c r="F33" s="51">
        <f>F30+F32</f>
        <v>0</v>
      </c>
      <c r="G33" s="87">
        <f>G30+G32</f>
        <v>29551291</v>
      </c>
      <c r="H33" s="87">
        <f>H30+H32</f>
        <v>29627351</v>
      </c>
      <c r="I33" s="156">
        <f>+G33/$G$33</f>
        <v>1</v>
      </c>
      <c r="J33" s="88">
        <f>+H33/$H$33</f>
        <v>1</v>
      </c>
      <c r="K33" s="89">
        <f t="shared" si="0"/>
        <v>0</v>
      </c>
      <c r="L33" s="68"/>
      <c r="M33" s="163">
        <f t="shared" si="1"/>
        <v>0.9829155196305843</v>
      </c>
      <c r="N33" s="67"/>
      <c r="O33" s="67"/>
      <c r="P33" s="67"/>
      <c r="Q33" s="67"/>
      <c r="R33" s="67"/>
      <c r="S33" s="67"/>
      <c r="T33" s="67"/>
      <c r="U33" s="67"/>
      <c r="V33" s="69"/>
      <c r="W33" s="69"/>
      <c r="X33" s="69"/>
      <c r="Y33" s="19"/>
      <c r="Z33" s="19"/>
      <c r="AA33" s="19"/>
      <c r="AB33" s="19"/>
      <c r="AC33" s="19"/>
      <c r="AD33" s="19"/>
      <c r="AE33" s="19"/>
      <c r="AF33" s="19"/>
      <c r="AG33" s="19"/>
      <c r="AH33" s="1"/>
      <c r="AI33" s="1"/>
    </row>
    <row r="34" spans="1:35" ht="13.5" thickBot="1">
      <c r="A34" s="21" t="s">
        <v>1</v>
      </c>
      <c r="B34" s="99">
        <f>B21-B33</f>
        <v>0</v>
      </c>
      <c r="C34" s="99">
        <f>C21-C33</f>
        <v>0</v>
      </c>
      <c r="D34" s="99">
        <f>D21-D33</f>
        <v>0</v>
      </c>
      <c r="E34" s="99">
        <f>E21-E33</f>
        <v>0</v>
      </c>
      <c r="F34" s="99">
        <f>F21-F33</f>
        <v>0</v>
      </c>
      <c r="G34" s="100">
        <f>G21-G33</f>
        <v>0</v>
      </c>
      <c r="H34" s="100">
        <f>H21-H33</f>
        <v>0</v>
      </c>
      <c r="I34" s="157"/>
      <c r="J34" s="101"/>
      <c r="K34" s="102"/>
      <c r="L34" s="148"/>
      <c r="M34" s="149"/>
      <c r="N34" s="149"/>
      <c r="O34" s="149"/>
      <c r="P34" s="149"/>
      <c r="Q34" s="149"/>
      <c r="R34" s="149"/>
      <c r="S34" s="149"/>
      <c r="T34" s="149"/>
      <c r="U34" s="149"/>
      <c r="V34" s="69"/>
      <c r="W34" s="69"/>
      <c r="X34" s="69"/>
      <c r="Y34" s="19"/>
      <c r="Z34" s="19"/>
      <c r="AA34" s="19"/>
      <c r="AB34" s="19"/>
      <c r="AC34" s="19"/>
      <c r="AD34" s="19"/>
      <c r="AE34" s="19"/>
      <c r="AF34" s="19"/>
      <c r="AG34" s="19"/>
      <c r="AH34" s="1"/>
      <c r="AI34" s="1"/>
    </row>
    <row r="35" spans="1:35" ht="15">
      <c r="A35" s="23"/>
      <c r="B35" s="54"/>
      <c r="C35" s="54"/>
      <c r="D35" s="54"/>
      <c r="E35" s="55"/>
      <c r="F35" s="56"/>
      <c r="G35" s="91"/>
      <c r="H35" s="91"/>
      <c r="I35" s="158"/>
      <c r="J35" s="92"/>
      <c r="K35" s="92"/>
      <c r="L35" s="111"/>
      <c r="M35" s="111"/>
      <c r="N35" s="111"/>
      <c r="O35" s="111"/>
      <c r="P35" s="111"/>
      <c r="Q35" s="68"/>
      <c r="R35" s="68"/>
      <c r="S35" s="68"/>
      <c r="T35" s="68"/>
      <c r="U35" s="68"/>
      <c r="V35" s="69"/>
      <c r="W35" s="69"/>
      <c r="X35" s="69"/>
      <c r="Y35" s="19"/>
      <c r="Z35" s="19"/>
      <c r="AA35" s="19"/>
      <c r="AB35" s="19"/>
      <c r="AC35" s="19"/>
      <c r="AD35" s="19"/>
      <c r="AE35" s="19"/>
      <c r="AF35" s="19"/>
      <c r="AG35" s="19"/>
      <c r="AH35" s="1"/>
      <c r="AI35" s="1"/>
    </row>
    <row r="36" spans="1:35" ht="15">
      <c r="A36" s="103"/>
      <c r="B36" s="104"/>
      <c r="C36" s="104"/>
      <c r="D36" s="104"/>
      <c r="E36" s="104"/>
      <c r="F36" s="104"/>
      <c r="G36" s="105"/>
      <c r="H36" s="105"/>
      <c r="I36" s="159"/>
      <c r="J36" s="93"/>
      <c r="K36" s="93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69"/>
      <c r="W36" s="69"/>
      <c r="X36" s="69"/>
      <c r="Y36" s="19"/>
      <c r="Z36" s="19"/>
      <c r="AA36" s="19"/>
      <c r="AB36" s="19"/>
      <c r="AC36" s="19"/>
      <c r="AD36" s="19"/>
      <c r="AE36" s="19"/>
      <c r="AF36" s="19"/>
      <c r="AG36" s="19"/>
      <c r="AH36" s="1"/>
      <c r="AI36" s="1"/>
    </row>
    <row r="37" spans="1:35" ht="15">
      <c r="A37" s="103"/>
      <c r="B37" s="107"/>
      <c r="C37" s="108"/>
      <c r="D37" s="108"/>
      <c r="E37" s="107"/>
      <c r="F37" s="109"/>
      <c r="G37" s="110"/>
      <c r="H37" s="110"/>
      <c r="I37" s="158"/>
      <c r="J37" s="92"/>
      <c r="K37" s="92"/>
      <c r="L37" s="111"/>
      <c r="M37" s="111"/>
      <c r="N37" s="111"/>
      <c r="O37" s="111"/>
      <c r="P37" s="111"/>
      <c r="Q37" s="68"/>
      <c r="R37" s="68"/>
      <c r="S37" s="68"/>
      <c r="T37" s="68"/>
      <c r="U37" s="68"/>
      <c r="V37" s="69"/>
      <c r="W37" s="69"/>
      <c r="X37" s="69"/>
      <c r="Y37" s="19"/>
      <c r="Z37" s="19"/>
      <c r="AA37" s="19"/>
      <c r="AB37" s="19"/>
      <c r="AC37" s="19"/>
      <c r="AD37" s="19"/>
      <c r="AE37" s="19"/>
      <c r="AF37" s="19"/>
      <c r="AG37" s="19"/>
      <c r="AH37" s="1"/>
      <c r="AI37" s="1"/>
    </row>
    <row r="38" spans="1:35" ht="15">
      <c r="A38" s="112"/>
      <c r="B38" s="108"/>
      <c r="C38" s="108"/>
      <c r="D38" s="108"/>
      <c r="E38" s="107"/>
      <c r="F38" s="109"/>
      <c r="G38" s="110"/>
      <c r="H38" s="110"/>
      <c r="I38" s="92"/>
      <c r="J38" s="92"/>
      <c r="K38" s="92"/>
      <c r="L38" s="111"/>
      <c r="M38" s="111"/>
      <c r="N38" s="111"/>
      <c r="O38" s="111"/>
      <c r="P38" s="111"/>
      <c r="Q38" s="68"/>
      <c r="R38" s="68"/>
      <c r="S38" s="68"/>
      <c r="T38" s="68"/>
      <c r="U38" s="68"/>
      <c r="V38" s="69"/>
      <c r="W38" s="69"/>
      <c r="X38" s="69"/>
      <c r="Y38" s="19"/>
      <c r="Z38" s="19"/>
      <c r="AA38" s="19"/>
      <c r="AB38" s="19"/>
      <c r="AC38" s="19"/>
      <c r="AD38" s="19"/>
      <c r="AE38" s="19"/>
      <c r="AF38" s="19"/>
      <c r="AG38" s="19"/>
      <c r="AH38" s="1"/>
      <c r="AI38" s="1"/>
    </row>
    <row r="39" spans="1:35" ht="15">
      <c r="A39" s="25"/>
      <c r="B39" s="108"/>
      <c r="C39" s="113"/>
      <c r="D39" s="113"/>
      <c r="E39" s="113"/>
      <c r="F39" s="113"/>
      <c r="G39" s="114"/>
      <c r="H39" s="114"/>
      <c r="I39" s="115"/>
      <c r="J39" s="115"/>
      <c r="K39" s="115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69"/>
      <c r="W39" s="69"/>
      <c r="X39" s="69"/>
      <c r="Y39" s="19"/>
      <c r="Z39" s="19"/>
      <c r="AA39" s="19"/>
      <c r="AB39" s="19"/>
      <c r="AC39" s="19"/>
      <c r="AD39" s="19"/>
      <c r="AE39" s="19"/>
      <c r="AF39" s="19"/>
      <c r="AG39" s="19"/>
      <c r="AH39" s="1"/>
      <c r="AI39" s="1"/>
    </row>
    <row r="40" spans="1:35" ht="12.75">
      <c r="A40" s="117"/>
      <c r="B40" s="118"/>
      <c r="C40" s="118"/>
      <c r="D40" s="118"/>
      <c r="E40" s="118"/>
      <c r="F40" s="118"/>
      <c r="G40" s="90"/>
      <c r="H40" s="90"/>
      <c r="I40" s="119"/>
      <c r="J40" s="119"/>
      <c r="K40" s="119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9"/>
      <c r="W40" s="69"/>
      <c r="X40" s="69"/>
      <c r="Y40" s="19"/>
      <c r="Z40" s="19"/>
      <c r="AA40" s="19"/>
      <c r="AB40" s="19"/>
      <c r="AC40" s="19"/>
      <c r="AD40" s="19"/>
      <c r="AE40" s="19"/>
      <c r="AF40" s="19"/>
      <c r="AG40" s="19"/>
      <c r="AH40" s="1"/>
      <c r="AI40" s="1"/>
    </row>
    <row r="41" spans="1:35" ht="12.75">
      <c r="A41" s="120"/>
      <c r="B41" s="57"/>
      <c r="C41" s="57"/>
      <c r="D41" s="57"/>
      <c r="E41" s="57"/>
      <c r="F41" s="57"/>
      <c r="G41" s="94"/>
      <c r="H41" s="94"/>
      <c r="I41" s="95"/>
      <c r="J41" s="95"/>
      <c r="K41" s="95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69"/>
      <c r="W41" s="69"/>
      <c r="X41" s="69"/>
      <c r="Y41" s="19"/>
      <c r="Z41" s="19"/>
      <c r="AA41" s="19"/>
      <c r="AB41" s="19"/>
      <c r="AC41" s="19"/>
      <c r="AD41" s="19"/>
      <c r="AE41" s="19"/>
      <c r="AF41" s="19"/>
      <c r="AG41" s="19"/>
      <c r="AH41" s="1"/>
      <c r="AI41" s="1"/>
    </row>
    <row r="42" spans="1:35" ht="12.75">
      <c r="A42" s="120"/>
      <c r="B42" s="57"/>
      <c r="C42" s="57"/>
      <c r="D42" s="57"/>
      <c r="E42" s="57"/>
      <c r="F42" s="57"/>
      <c r="G42" s="94"/>
      <c r="H42" s="94"/>
      <c r="I42" s="95"/>
      <c r="J42" s="95"/>
      <c r="K42" s="95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69"/>
      <c r="W42" s="69"/>
      <c r="X42" s="69"/>
      <c r="Y42" s="19"/>
      <c r="Z42" s="19"/>
      <c r="AA42" s="19"/>
      <c r="AB42" s="19"/>
      <c r="AC42" s="19"/>
      <c r="AD42" s="19"/>
      <c r="AE42" s="19"/>
      <c r="AF42" s="19"/>
      <c r="AG42" s="19"/>
      <c r="AH42" s="1"/>
      <c r="AI42" s="1"/>
    </row>
    <row r="43" spans="1:35" ht="12.75">
      <c r="A43" s="120"/>
      <c r="B43" s="57"/>
      <c r="C43" s="57"/>
      <c r="D43" s="57"/>
      <c r="E43" s="57"/>
      <c r="F43" s="57"/>
      <c r="G43" s="94"/>
      <c r="H43" s="94"/>
      <c r="I43" s="95"/>
      <c r="J43" s="95"/>
      <c r="K43" s="95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69"/>
      <c r="W43" s="69"/>
      <c r="X43" s="69"/>
      <c r="Y43" s="19"/>
      <c r="Z43" s="19"/>
      <c r="AA43" s="19"/>
      <c r="AB43" s="19"/>
      <c r="AC43" s="19"/>
      <c r="AD43" s="19"/>
      <c r="AE43" s="19"/>
      <c r="AF43" s="19"/>
      <c r="AG43" s="19"/>
      <c r="AH43" s="1"/>
      <c r="AI43" s="1"/>
    </row>
    <row r="44" spans="1:35" ht="12.75">
      <c r="A44" s="120"/>
      <c r="B44" s="57"/>
      <c r="C44" s="57"/>
      <c r="D44" s="57"/>
      <c r="E44" s="57"/>
      <c r="F44" s="57"/>
      <c r="G44" s="94"/>
      <c r="H44" s="94"/>
      <c r="I44" s="95"/>
      <c r="J44" s="95"/>
      <c r="K44" s="95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69"/>
      <c r="W44" s="69"/>
      <c r="X44" s="69"/>
      <c r="Y44" s="19"/>
      <c r="Z44" s="19"/>
      <c r="AA44" s="19"/>
      <c r="AB44" s="19"/>
      <c r="AC44" s="19"/>
      <c r="AD44" s="19"/>
      <c r="AE44" s="19"/>
      <c r="AF44" s="19"/>
      <c r="AG44" s="19"/>
      <c r="AH44" s="1"/>
      <c r="AI44" s="1"/>
    </row>
    <row r="45" spans="1:35" ht="12.75">
      <c r="A45" s="120"/>
      <c r="B45" s="57"/>
      <c r="C45" s="57"/>
      <c r="D45" s="57"/>
      <c r="E45" s="57"/>
      <c r="F45" s="57"/>
      <c r="G45" s="94"/>
      <c r="H45" s="94"/>
      <c r="I45" s="95"/>
      <c r="J45" s="95"/>
      <c r="K45" s="95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69"/>
      <c r="W45" s="69"/>
      <c r="X45" s="69"/>
      <c r="Y45" s="19"/>
      <c r="Z45" s="19"/>
      <c r="AA45" s="19"/>
      <c r="AB45" s="19"/>
      <c r="AC45" s="19"/>
      <c r="AD45" s="19"/>
      <c r="AE45" s="19"/>
      <c r="AF45" s="19"/>
      <c r="AG45" s="19"/>
      <c r="AH45" s="1"/>
      <c r="AI45" s="1"/>
    </row>
    <row r="46" spans="1:35" ht="12.75">
      <c r="A46" s="25"/>
      <c r="B46" s="57"/>
      <c r="C46" s="57"/>
      <c r="D46" s="57"/>
      <c r="E46" s="57"/>
      <c r="F46" s="57"/>
      <c r="G46" s="94"/>
      <c r="H46" s="94"/>
      <c r="I46" s="95"/>
      <c r="J46" s="95"/>
      <c r="K46" s="95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69"/>
      <c r="W46" s="69"/>
      <c r="X46" s="69"/>
      <c r="Y46" s="19"/>
      <c r="Z46" s="19"/>
      <c r="AA46" s="19"/>
      <c r="AB46" s="19"/>
      <c r="AC46" s="19"/>
      <c r="AD46" s="19"/>
      <c r="AE46" s="19"/>
      <c r="AF46" s="19"/>
      <c r="AG46" s="19"/>
      <c r="AH46" s="1"/>
      <c r="AI46" s="1"/>
    </row>
    <row r="47" spans="1:35" ht="12.75">
      <c r="A47" s="25"/>
      <c r="B47" s="58"/>
      <c r="C47" s="58"/>
      <c r="D47" s="58"/>
      <c r="E47" s="58"/>
      <c r="F47" s="58"/>
      <c r="G47" s="96"/>
      <c r="H47" s="96"/>
      <c r="I47" s="97"/>
      <c r="J47" s="97"/>
      <c r="K47" s="97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9"/>
      <c r="W47" s="69"/>
      <c r="X47" s="69"/>
      <c r="Y47" s="19"/>
      <c r="Z47" s="19"/>
      <c r="AA47" s="19"/>
      <c r="AB47" s="19"/>
      <c r="AC47" s="19"/>
      <c r="AD47" s="19"/>
      <c r="AE47" s="19"/>
      <c r="AF47" s="19"/>
      <c r="AG47" s="19"/>
      <c r="AH47" s="1"/>
      <c r="AI47" s="1"/>
    </row>
    <row r="48" spans="1:35" ht="12.75">
      <c r="A48" s="121"/>
      <c r="B48" s="122"/>
      <c r="C48" s="122"/>
      <c r="D48" s="122"/>
      <c r="E48" s="122"/>
      <c r="F48" s="122"/>
      <c r="G48" s="123"/>
      <c r="H48" s="123"/>
      <c r="I48" s="124"/>
      <c r="J48" s="124"/>
      <c r="K48" s="124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69"/>
      <c r="W48" s="69"/>
      <c r="X48" s="69"/>
      <c r="Y48" s="19"/>
      <c r="Z48" s="19"/>
      <c r="AA48" s="19"/>
      <c r="AB48" s="19"/>
      <c r="AC48" s="19"/>
      <c r="AD48" s="19"/>
      <c r="AE48" s="19"/>
      <c r="AF48" s="19"/>
      <c r="AG48" s="19"/>
      <c r="AH48" s="1"/>
      <c r="AI48" s="1"/>
    </row>
    <row r="49" spans="1:35" ht="12.75">
      <c r="A49" s="117"/>
      <c r="B49" s="126"/>
      <c r="C49" s="126"/>
      <c r="D49" s="126"/>
      <c r="E49" s="127"/>
      <c r="F49" s="58"/>
      <c r="G49" s="96"/>
      <c r="H49" s="96"/>
      <c r="I49" s="97"/>
      <c r="J49" s="97"/>
      <c r="K49" s="97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9"/>
      <c r="W49" s="69"/>
      <c r="X49" s="69"/>
      <c r="Y49" s="19"/>
      <c r="Z49" s="19"/>
      <c r="AA49" s="19"/>
      <c r="AB49" s="19"/>
      <c r="AC49" s="19"/>
      <c r="AD49" s="19"/>
      <c r="AE49" s="19"/>
      <c r="AF49" s="19"/>
      <c r="AG49" s="19"/>
      <c r="AH49" s="1"/>
      <c r="AI49" s="1"/>
    </row>
    <row r="50" spans="1:35" ht="12.75">
      <c r="A50" s="117"/>
      <c r="B50" s="126"/>
      <c r="C50" s="126"/>
      <c r="D50" s="126"/>
      <c r="E50" s="127"/>
      <c r="F50" s="58"/>
      <c r="G50" s="96"/>
      <c r="H50" s="96"/>
      <c r="I50" s="97"/>
      <c r="J50" s="97"/>
      <c r="K50" s="97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9"/>
      <c r="W50" s="69"/>
      <c r="X50" s="69"/>
      <c r="Y50" s="19"/>
      <c r="Z50" s="19"/>
      <c r="AA50" s="19"/>
      <c r="AB50" s="19"/>
      <c r="AC50" s="19"/>
      <c r="AD50" s="19"/>
      <c r="AE50" s="19"/>
      <c r="AF50" s="19"/>
      <c r="AG50" s="19"/>
      <c r="AH50" s="1"/>
      <c r="AI50" s="1"/>
    </row>
    <row r="51" spans="1:24" ht="12.75">
      <c r="A51" s="27"/>
      <c r="E51" s="60"/>
      <c r="F51" s="42"/>
      <c r="G51" s="73"/>
      <c r="H51" s="73"/>
      <c r="I51" s="32"/>
      <c r="J51" s="32"/>
      <c r="K51" s="32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66"/>
      <c r="W51" s="66"/>
      <c r="X51" s="66"/>
    </row>
    <row r="52" spans="1:24" ht="12.75">
      <c r="A52" s="27"/>
      <c r="E52" s="60"/>
      <c r="F52" s="42"/>
      <c r="G52" s="73"/>
      <c r="H52" s="73"/>
      <c r="I52" s="32"/>
      <c r="J52" s="32"/>
      <c r="K52" s="32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66"/>
      <c r="W52" s="66"/>
      <c r="X52" s="66"/>
    </row>
    <row r="53" spans="1:24" ht="12.75">
      <c r="A53" s="27"/>
      <c r="E53" s="60"/>
      <c r="F53" s="42"/>
      <c r="G53" s="73"/>
      <c r="H53" s="73"/>
      <c r="I53" s="32"/>
      <c r="J53" s="32"/>
      <c r="K53" s="32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66"/>
      <c r="W53" s="66"/>
      <c r="X53" s="66"/>
    </row>
    <row r="54" spans="1:24" ht="12.75">
      <c r="A54" s="27"/>
      <c r="E54" s="60"/>
      <c r="F54" s="42"/>
      <c r="G54" s="73"/>
      <c r="H54" s="73"/>
      <c r="I54" s="32"/>
      <c r="J54" s="32"/>
      <c r="K54" s="32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66"/>
      <c r="W54" s="66"/>
      <c r="X54" s="66"/>
    </row>
    <row r="55" spans="1:24" ht="12.75">
      <c r="A55" s="27"/>
      <c r="I55" s="31"/>
      <c r="J55" s="31"/>
      <c r="K55" s="3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66"/>
      <c r="W55" s="66"/>
      <c r="X55" s="66"/>
    </row>
    <row r="56" spans="1:21" ht="12.75">
      <c r="A56" s="27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1" ht="12.75">
      <c r="A57" s="27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1:21" ht="12.75">
      <c r="A58" s="27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ht="12.75">
      <c r="A59" s="27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:21" ht="12.75">
      <c r="A60" s="27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:21" ht="12.75">
      <c r="A61" s="27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1:21" ht="12.75">
      <c r="A62" s="27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1:21" ht="12.75">
      <c r="A63" s="27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1:21" ht="12.75">
      <c r="A64" s="27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</sheetData>
  <printOptions/>
  <pageMargins left="1.1811023622047245" right="0.75" top="0.34" bottom="1" header="0" footer="0"/>
  <pageSetup horizontalDpi="120" verticalDpi="120" orientation="landscape" scale="80" r:id="rId2"/>
  <headerFooter alignWithMargins="0">
    <oddHeader>&amp;C&amp;"Times New Roman,Normal"Modelo ECO de Proyección Financiera &amp;R&amp;"Times New Roman,Cursiva"&amp;8Guillermo López Dumrauf&amp;"Times New Roman,Normal"
&amp;"Times New Roman,Cursiva"Doctor, UBA, Ciencias Económicas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AE129"/>
  <sheetViews>
    <sheetView showGridLines="0" workbookViewId="0" topLeftCell="A1">
      <selection activeCell="H27" sqref="H27"/>
    </sheetView>
  </sheetViews>
  <sheetFormatPr defaultColWidth="11.421875" defaultRowHeight="12.75"/>
  <cols>
    <col min="1" max="1" width="27.140625" style="1" customWidth="1"/>
    <col min="2" max="4" width="12.00390625" style="1" hidden="1" customWidth="1"/>
    <col min="5" max="5" width="0" style="1" hidden="1" customWidth="1"/>
    <col min="6" max="6" width="10.7109375" style="1" hidden="1" customWidth="1"/>
    <col min="7" max="7" width="12.57421875" style="1" customWidth="1"/>
    <col min="8" max="8" width="12.8515625" style="1" customWidth="1"/>
    <col min="9" max="11" width="10.421875" style="1" customWidth="1"/>
    <col min="12" max="12" width="5.8515625" style="1" customWidth="1"/>
    <col min="13" max="13" width="10.7109375" style="1" customWidth="1"/>
    <col min="14" max="14" width="11.421875" style="1" customWidth="1"/>
    <col min="15" max="15" width="17.28125" style="1" customWidth="1"/>
    <col min="16" max="16" width="10.7109375" style="1" customWidth="1"/>
    <col min="17" max="17" width="11.7109375" style="1" customWidth="1"/>
    <col min="18" max="16384" width="11.421875" style="1" customWidth="1"/>
  </cols>
  <sheetData>
    <row r="1" spans="1:31" ht="12.75">
      <c r="A1" s="26"/>
      <c r="B1" s="26"/>
      <c r="C1" s="26"/>
      <c r="D1" s="26"/>
      <c r="E1" s="26"/>
      <c r="F1" s="26"/>
      <c r="G1" s="26"/>
      <c r="H1" s="26"/>
      <c r="I1" s="37"/>
      <c r="J1" s="37"/>
      <c r="K1" s="26"/>
      <c r="L1" s="26"/>
      <c r="M1" s="26"/>
      <c r="N1" s="26"/>
      <c r="O1" s="26"/>
      <c r="P1" s="26"/>
      <c r="Q1" s="26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2.75">
      <c r="A2" s="26"/>
      <c r="B2" s="26"/>
      <c r="C2" s="26"/>
      <c r="D2" s="26"/>
      <c r="E2" s="26"/>
      <c r="F2" s="30" t="s">
        <v>3</v>
      </c>
      <c r="G2" s="30"/>
      <c r="H2" s="26"/>
      <c r="I2" s="143" t="s">
        <v>63</v>
      </c>
      <c r="J2" s="26"/>
      <c r="K2" s="26"/>
      <c r="L2" s="30"/>
      <c r="M2" s="161" t="s">
        <v>65</v>
      </c>
      <c r="N2" s="131"/>
      <c r="Q2" s="132"/>
      <c r="R2" s="26"/>
      <c r="S2" s="26"/>
      <c r="T2" s="26"/>
      <c r="U2" s="26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2.75">
      <c r="A3" s="30"/>
      <c r="B3" s="133">
        <f>+Balance!B11</f>
        <v>33603</v>
      </c>
      <c r="C3" s="133">
        <f>+Balance!C11</f>
        <v>33969</v>
      </c>
      <c r="D3" s="133">
        <f>+Balance!D11</f>
        <v>34334</v>
      </c>
      <c r="E3" s="133">
        <f>+Balance!E11</f>
        <v>34699</v>
      </c>
      <c r="F3" s="133">
        <f>+Balance!F11</f>
        <v>35064</v>
      </c>
      <c r="G3" s="134">
        <f>+Balance!G11</f>
        <v>1996</v>
      </c>
      <c r="H3" s="134">
        <f>+Balance!H11</f>
        <v>1997</v>
      </c>
      <c r="I3" s="134">
        <f>+Balance!I11</f>
        <v>1996</v>
      </c>
      <c r="J3" s="134">
        <f>+Balance!J11</f>
        <v>1997</v>
      </c>
      <c r="K3" s="144" t="s">
        <v>62</v>
      </c>
      <c r="L3" s="133"/>
      <c r="M3" s="133" t="s">
        <v>67</v>
      </c>
      <c r="N3" s="133"/>
      <c r="O3" s="133"/>
      <c r="P3" s="133"/>
      <c r="Q3" s="133"/>
      <c r="R3" s="133"/>
      <c r="S3" s="133"/>
      <c r="T3" s="133"/>
      <c r="U3" s="133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2.75">
      <c r="A4" s="118" t="s">
        <v>31</v>
      </c>
      <c r="B4" s="10"/>
      <c r="C4" s="10"/>
      <c r="D4" s="10"/>
      <c r="E4" s="9"/>
      <c r="F4" s="8"/>
      <c r="G4" s="64">
        <v>42455245</v>
      </c>
      <c r="H4" s="64">
        <v>37515340</v>
      </c>
      <c r="I4" s="38">
        <f>+G4/$G$4</f>
        <v>1</v>
      </c>
      <c r="J4" s="38">
        <f>+H4/$H$4</f>
        <v>1</v>
      </c>
      <c r="K4" s="38"/>
      <c r="L4" s="26"/>
      <c r="M4" s="28">
        <f>+(H4/(1+$P$20))/G4</f>
        <v>0.8663180508801496</v>
      </c>
      <c r="N4" s="26"/>
      <c r="O4" s="26"/>
      <c r="P4" s="26"/>
      <c r="Q4" s="26"/>
      <c r="R4" s="26"/>
      <c r="S4" s="26"/>
      <c r="T4" s="26"/>
      <c r="U4" s="26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12.75">
      <c r="A5" s="118" t="s">
        <v>32</v>
      </c>
      <c r="B5" s="10"/>
      <c r="C5" s="10"/>
      <c r="D5" s="10"/>
      <c r="E5" s="9"/>
      <c r="F5" s="8"/>
      <c r="G5" s="64">
        <v>29197109</v>
      </c>
      <c r="H5" s="64">
        <v>24778819</v>
      </c>
      <c r="I5" s="38">
        <f aca="true" t="shared" si="0" ref="I5:I14">+G5/$G$4</f>
        <v>0.6877150043534079</v>
      </c>
      <c r="J5" s="38">
        <f aca="true" t="shared" si="1" ref="J5:J14">+H5/$H$4</f>
        <v>0.6604983188210476</v>
      </c>
      <c r="K5" s="38">
        <f>+J5-I5</f>
        <v>-0.02721668553236034</v>
      </c>
      <c r="L5" s="26"/>
      <c r="M5" s="28">
        <f>+(H5/(1+$P$20))/G5</f>
        <v>0.8320330551878122</v>
      </c>
      <c r="N5" s="26"/>
      <c r="O5" s="26"/>
      <c r="P5" s="26"/>
      <c r="Q5" s="26"/>
      <c r="R5" s="26"/>
      <c r="S5" s="26"/>
      <c r="T5" s="26"/>
      <c r="U5" s="26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12.75">
      <c r="A6" s="152" t="s">
        <v>33</v>
      </c>
      <c r="B6" s="30">
        <f aca="true" t="shared" si="2" ref="B6:H6">B4-B5</f>
        <v>0</v>
      </c>
      <c r="C6" s="30">
        <f t="shared" si="2"/>
        <v>0</v>
      </c>
      <c r="D6" s="30">
        <f t="shared" si="2"/>
        <v>0</v>
      </c>
      <c r="E6" s="30">
        <f t="shared" si="2"/>
        <v>0</v>
      </c>
      <c r="F6" s="30">
        <f t="shared" si="2"/>
        <v>0</v>
      </c>
      <c r="G6" s="153">
        <f t="shared" si="2"/>
        <v>13258136</v>
      </c>
      <c r="H6" s="153">
        <f t="shared" si="2"/>
        <v>12736521</v>
      </c>
      <c r="I6" s="38">
        <f t="shared" si="0"/>
        <v>0.31228499564659207</v>
      </c>
      <c r="J6" s="38">
        <f t="shared" si="1"/>
        <v>0.3395016811789524</v>
      </c>
      <c r="K6" s="38">
        <f aca="true" t="shared" si="3" ref="K6:K14">+J6-I6</f>
        <v>0.02721668553236034</v>
      </c>
      <c r="L6" s="26"/>
      <c r="M6" s="28">
        <f>+(H6/(1+$P$20))/G6</f>
        <v>0.9418205767475644</v>
      </c>
      <c r="N6" s="26"/>
      <c r="O6" s="26"/>
      <c r="P6" s="26"/>
      <c r="Q6" s="26"/>
      <c r="R6" s="26"/>
      <c r="S6" s="26"/>
      <c r="T6" s="26"/>
      <c r="U6" s="26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12.75">
      <c r="A7" s="118" t="s">
        <v>34</v>
      </c>
      <c r="B7" s="10"/>
      <c r="C7" s="10"/>
      <c r="D7" s="10"/>
      <c r="E7" s="9"/>
      <c r="F7" s="8"/>
      <c r="G7" s="64">
        <v>3350235</v>
      </c>
      <c r="H7" s="64">
        <v>3470454</v>
      </c>
      <c r="I7" s="38">
        <f t="shared" si="0"/>
        <v>0.0789121579677611</v>
      </c>
      <c r="J7" s="38">
        <f t="shared" si="1"/>
        <v>0.0925075982251527</v>
      </c>
      <c r="K7" s="38">
        <f t="shared" si="3"/>
        <v>0.013595440257391594</v>
      </c>
      <c r="L7" s="26"/>
      <c r="M7" s="28">
        <f>+(H7/(1+$P$20))/G7</f>
        <v>1.015572305331698</v>
      </c>
      <c r="N7" s="26"/>
      <c r="O7" s="26"/>
      <c r="P7" s="26"/>
      <c r="Q7" s="26"/>
      <c r="R7" s="26"/>
      <c r="S7" s="26"/>
      <c r="T7" s="26"/>
      <c r="U7" s="26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ht="12.75">
      <c r="A8" s="118" t="s">
        <v>35</v>
      </c>
      <c r="B8" s="10"/>
      <c r="C8" s="10"/>
      <c r="D8" s="10"/>
      <c r="E8" s="9"/>
      <c r="F8" s="8"/>
      <c r="G8" s="64">
        <v>2230534</v>
      </c>
      <c r="H8" s="64">
        <f>2678839+571535</f>
        <v>3250374</v>
      </c>
      <c r="I8" s="38">
        <f t="shared" si="0"/>
        <v>0.05253847905011501</v>
      </c>
      <c r="J8" s="38">
        <f t="shared" si="1"/>
        <v>0.08664119797394879</v>
      </c>
      <c r="K8" s="38">
        <f t="shared" si="3"/>
        <v>0.03410271892383378</v>
      </c>
      <c r="L8" s="26"/>
      <c r="M8" s="28">
        <f>+(H8/(1+$P$20))/G8</f>
        <v>1.4286449686355769</v>
      </c>
      <c r="N8" s="26"/>
      <c r="O8" s="26"/>
      <c r="P8" s="26"/>
      <c r="Q8" s="26"/>
      <c r="R8" s="26"/>
      <c r="S8" s="26"/>
      <c r="T8" s="26"/>
      <c r="U8" s="26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ht="12.75">
      <c r="A9" s="152" t="s">
        <v>36</v>
      </c>
      <c r="B9" s="30">
        <f>+B6-B7-B8</f>
        <v>0</v>
      </c>
      <c r="C9" s="30">
        <f>+C6-C7-C8</f>
        <v>0</v>
      </c>
      <c r="D9" s="30">
        <f>+D6-D7-D8</f>
        <v>0</v>
      </c>
      <c r="E9" s="30">
        <f>+E6-E7-E8</f>
        <v>0</v>
      </c>
      <c r="F9" s="30">
        <f>+F6-F7-F8</f>
        <v>0</v>
      </c>
      <c r="G9" s="153">
        <f>+G6-G7-G8</f>
        <v>7677367</v>
      </c>
      <c r="H9" s="153">
        <f>+H6-H7-H8</f>
        <v>6015693</v>
      </c>
      <c r="I9" s="38">
        <f t="shared" si="0"/>
        <v>0.18083435862871597</v>
      </c>
      <c r="J9" s="38">
        <f t="shared" si="1"/>
        <v>0.1603528849798509</v>
      </c>
      <c r="K9" s="38">
        <f t="shared" si="3"/>
        <v>-0.020481473648865073</v>
      </c>
      <c r="L9" s="29"/>
      <c r="M9" s="28">
        <f>+(H9/(1+$P$20))/G9</f>
        <v>0.7681980339475913</v>
      </c>
      <c r="N9" s="29"/>
      <c r="O9" s="29"/>
      <c r="P9" s="29"/>
      <c r="Q9" s="29"/>
      <c r="R9" s="29"/>
      <c r="S9" s="29"/>
      <c r="T9" s="29"/>
      <c r="U9" s="29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ht="12.75">
      <c r="A10" s="118" t="s">
        <v>37</v>
      </c>
      <c r="B10" s="10"/>
      <c r="C10" s="10"/>
      <c r="D10" s="10"/>
      <c r="E10" s="9"/>
      <c r="F10" s="8"/>
      <c r="G10" s="64">
        <v>86956</v>
      </c>
      <c r="H10" s="64">
        <v>96736</v>
      </c>
      <c r="I10" s="38">
        <f t="shared" si="0"/>
        <v>0.002048180383837144</v>
      </c>
      <c r="J10" s="38">
        <f t="shared" si="1"/>
        <v>0.0025785718588715975</v>
      </c>
      <c r="K10" s="38">
        <f t="shared" si="3"/>
        <v>0.0005303914750344535</v>
      </c>
      <c r="L10" s="26"/>
      <c r="M10" s="28">
        <f>+(H10/(1+$P$20))/G10</f>
        <v>1.090657524337303</v>
      </c>
      <c r="N10" s="26"/>
      <c r="O10" s="26"/>
      <c r="P10" s="26"/>
      <c r="Q10" s="26"/>
      <c r="R10" s="26"/>
      <c r="S10" s="26"/>
      <c r="T10" s="26"/>
      <c r="U10" s="26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12.75">
      <c r="A11" s="118" t="s">
        <v>38</v>
      </c>
      <c r="B11" s="10"/>
      <c r="C11" s="10"/>
      <c r="D11" s="10"/>
      <c r="E11" s="10"/>
      <c r="F11" s="9"/>
      <c r="G11" s="64">
        <v>789330</v>
      </c>
      <c r="H11" s="64">
        <v>351670</v>
      </c>
      <c r="I11" s="38">
        <f t="shared" si="0"/>
        <v>0.01859204910959765</v>
      </c>
      <c r="J11" s="38">
        <f t="shared" si="1"/>
        <v>0.009374032062617586</v>
      </c>
      <c r="K11" s="38">
        <f t="shared" si="3"/>
        <v>-0.009218017046980064</v>
      </c>
      <c r="L11" s="26"/>
      <c r="M11" s="28">
        <f>+(H11/(1+$P$20))/G11</f>
        <v>0.4367938755703211</v>
      </c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12.75">
      <c r="A12" s="118" t="s">
        <v>39</v>
      </c>
      <c r="B12" s="10"/>
      <c r="C12" s="10"/>
      <c r="D12" s="10"/>
      <c r="E12" s="10"/>
      <c r="F12" s="8"/>
      <c r="G12" s="64">
        <v>581720</v>
      </c>
      <c r="H12" s="64"/>
      <c r="I12" s="38">
        <f t="shared" si="0"/>
        <v>0.01370195837993633</v>
      </c>
      <c r="J12" s="38">
        <f t="shared" si="1"/>
        <v>0</v>
      </c>
      <c r="K12" s="38">
        <f t="shared" si="3"/>
        <v>-0.01370195837993633</v>
      </c>
      <c r="L12" s="26"/>
      <c r="M12" s="28">
        <f>+(H12/(1+$P$20))/G12</f>
        <v>0</v>
      </c>
      <c r="N12" s="26"/>
      <c r="O12" s="26"/>
      <c r="P12" s="26"/>
      <c r="Q12" s="26"/>
      <c r="R12" s="26"/>
      <c r="S12" s="26"/>
      <c r="T12" s="26"/>
      <c r="U12" s="26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12.75">
      <c r="A13" s="152" t="s">
        <v>40</v>
      </c>
      <c r="B13" s="30" t="e">
        <f>+B9-B10+B11-B12+#REF!</f>
        <v>#REF!</v>
      </c>
      <c r="C13" s="30" t="e">
        <f>+C9-C10+C11-C12+#REF!</f>
        <v>#REF!</v>
      </c>
      <c r="D13" s="30" t="e">
        <f>+D9-D10+D11-D12+#REF!</f>
        <v>#REF!</v>
      </c>
      <c r="E13" s="30" t="e">
        <f>+E9-E10+E11-E12+#REF!</f>
        <v>#REF!</v>
      </c>
      <c r="F13" s="30" t="e">
        <f>+F9-F10+F11-F12+#REF!</f>
        <v>#REF!</v>
      </c>
      <c r="G13" s="153">
        <f>+G9-G10+G11-G12</f>
        <v>7798021</v>
      </c>
      <c r="H13" s="153">
        <f>+H9-H10+H11-H12</f>
        <v>6270627</v>
      </c>
      <c r="I13" s="38">
        <f t="shared" si="0"/>
        <v>0.18367626897454012</v>
      </c>
      <c r="J13" s="38">
        <f t="shared" si="1"/>
        <v>0.1671483451835969</v>
      </c>
      <c r="K13" s="38">
        <f t="shared" si="3"/>
        <v>-0.016527923790943227</v>
      </c>
      <c r="L13" s="29"/>
      <c r="M13" s="28">
        <f>+(H13/(1+$P$20))/G13</f>
        <v>0.7883632949195398</v>
      </c>
      <c r="N13" s="29"/>
      <c r="O13" s="29"/>
      <c r="P13" s="29"/>
      <c r="Q13" s="29"/>
      <c r="R13" s="29"/>
      <c r="S13" s="29"/>
      <c r="T13" s="29"/>
      <c r="U13" s="29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12.75">
      <c r="A14" s="118" t="s">
        <v>41</v>
      </c>
      <c r="B14" s="10"/>
      <c r="C14" s="10"/>
      <c r="D14" s="10"/>
      <c r="E14" s="9"/>
      <c r="F14" s="8"/>
      <c r="G14" s="64">
        <v>3047317</v>
      </c>
      <c r="H14" s="64">
        <v>2188173</v>
      </c>
      <c r="I14" s="38">
        <f t="shared" si="0"/>
        <v>0.071777162044407</v>
      </c>
      <c r="J14" s="38">
        <f t="shared" si="1"/>
        <v>0.05832742019664489</v>
      </c>
      <c r="K14" s="38">
        <f t="shared" si="3"/>
        <v>-0.013449741847762105</v>
      </c>
      <c r="L14" s="26"/>
      <c r="M14" s="28">
        <f>+(H14/(1+$P$20))/G14</f>
        <v>0.7039857182757238</v>
      </c>
      <c r="N14" s="26"/>
      <c r="O14" s="26"/>
      <c r="P14" s="26"/>
      <c r="Q14" s="26"/>
      <c r="R14" s="26"/>
      <c r="S14" s="26"/>
      <c r="T14" s="26"/>
      <c r="U14" s="26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12.75">
      <c r="A15" s="118" t="s">
        <v>42</v>
      </c>
      <c r="B15" s="12"/>
      <c r="C15" s="12"/>
      <c r="D15" s="12"/>
      <c r="E15" s="12"/>
      <c r="F15" s="9"/>
      <c r="G15" s="64">
        <v>249135</v>
      </c>
      <c r="H15" s="64"/>
      <c r="I15" s="38">
        <f>+G15/$G$4</f>
        <v>0.005868179538240799</v>
      </c>
      <c r="J15" s="38">
        <f>+H15/$H$4</f>
        <v>0</v>
      </c>
      <c r="K15" s="38">
        <f>+J15-I15</f>
        <v>-0.005868179538240799</v>
      </c>
      <c r="L15" s="26"/>
      <c r="M15" s="28">
        <f>+(H15/(1+$P$20))/G15</f>
        <v>0</v>
      </c>
      <c r="N15" s="26"/>
      <c r="O15" s="26"/>
      <c r="P15" s="26"/>
      <c r="Q15" s="26"/>
      <c r="R15" s="26"/>
      <c r="S15" s="26"/>
      <c r="T15" s="26"/>
      <c r="U15" s="26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12.75">
      <c r="A16" s="152" t="s">
        <v>43</v>
      </c>
      <c r="B16" s="30" t="e">
        <f>+B13-B14-#REF!+B15</f>
        <v>#REF!</v>
      </c>
      <c r="C16" s="30" t="e">
        <f>+C13-C14-#REF!+C15</f>
        <v>#REF!</v>
      </c>
      <c r="D16" s="30" t="e">
        <f>+D13-D14-#REF!+D15</f>
        <v>#REF!</v>
      </c>
      <c r="E16" s="30" t="e">
        <f>+E13-E14-#REF!+E15</f>
        <v>#REF!</v>
      </c>
      <c r="F16" s="30" t="e">
        <f>+F13-F14-#REF!+F15</f>
        <v>#REF!</v>
      </c>
      <c r="G16" s="153">
        <f>+G13-G14+G15</f>
        <v>4999839</v>
      </c>
      <c r="H16" s="153">
        <f>+H13-H14+H15</f>
        <v>4082454</v>
      </c>
      <c r="I16" s="35">
        <f>+I13-I14+I15</f>
        <v>0.11776728646837392</v>
      </c>
      <c r="J16" s="35">
        <f>+J13-J14+J15</f>
        <v>0.108820924986952</v>
      </c>
      <c r="K16" s="35">
        <f>+K13-K14+K15</f>
        <v>-0.008946361481421923</v>
      </c>
      <c r="L16" s="26"/>
      <c r="M16" s="28">
        <f>+(H16/(1+$P$20))/G16</f>
        <v>0.8005069527944683</v>
      </c>
      <c r="N16" s="26"/>
      <c r="O16" s="26"/>
      <c r="P16" s="26"/>
      <c r="Q16" s="26"/>
      <c r="R16" s="26"/>
      <c r="S16" s="26"/>
      <c r="T16" s="26"/>
      <c r="U16" s="26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ht="12.75">
      <c r="A17" s="29"/>
      <c r="B17" s="30"/>
      <c r="C17" s="30"/>
      <c r="D17" s="30"/>
      <c r="E17" s="30"/>
      <c r="F17" s="26"/>
      <c r="G17" s="64"/>
      <c r="H17" s="64"/>
      <c r="I17" s="26"/>
      <c r="J17" s="26"/>
      <c r="K17" s="26"/>
      <c r="L17" s="26"/>
      <c r="M17" s="26"/>
      <c r="N17" s="26"/>
      <c r="O17" s="26"/>
      <c r="P17" s="26"/>
      <c r="Q17" s="26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17" s="5" customFormat="1" ht="12.75">
      <c r="A18" s="118"/>
      <c r="B18" s="152"/>
      <c r="C18" s="152"/>
      <c r="D18" s="152"/>
      <c r="E18" s="152"/>
      <c r="F18" s="58"/>
      <c r="G18" s="62"/>
      <c r="H18" s="62"/>
      <c r="I18" s="58"/>
      <c r="J18" s="58"/>
      <c r="K18" s="58"/>
      <c r="L18" s="58"/>
      <c r="M18" s="58"/>
      <c r="N18" s="58"/>
      <c r="O18" s="58"/>
      <c r="P18" s="58"/>
      <c r="Q18" s="58"/>
    </row>
    <row r="19" spans="1:21" s="5" customFormat="1" ht="12.75">
      <c r="A19" s="118"/>
      <c r="B19" s="118"/>
      <c r="C19" s="118"/>
      <c r="D19" s="118"/>
      <c r="E19" s="118"/>
      <c r="G19" s="62"/>
      <c r="H19" s="62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s="5" customFormat="1" ht="12.75">
      <c r="A20" s="118"/>
      <c r="B20" s="118"/>
      <c r="C20" s="118"/>
      <c r="D20" s="118"/>
      <c r="E20" s="118"/>
      <c r="F20" s="118"/>
      <c r="G20" s="160"/>
      <c r="H20" s="160"/>
      <c r="I20" s="118"/>
      <c r="J20" s="118"/>
      <c r="M20" s="118"/>
      <c r="N20" s="118"/>
      <c r="O20" s="30" t="s">
        <v>66</v>
      </c>
      <c r="P20" s="162">
        <v>0.02</v>
      </c>
      <c r="Q20" s="118"/>
      <c r="R20" s="118"/>
      <c r="S20" s="118"/>
      <c r="T20" s="118"/>
      <c r="U20" s="118"/>
    </row>
    <row r="21" spans="1:17" s="5" customFormat="1" ht="12.75">
      <c r="A21" s="152"/>
      <c r="B21" s="152"/>
      <c r="C21" s="152"/>
      <c r="D21" s="152"/>
      <c r="E21" s="152"/>
      <c r="F21" s="58"/>
      <c r="G21" s="58"/>
      <c r="H21" s="58"/>
      <c r="I21" s="58"/>
      <c r="J21" s="58"/>
      <c r="K21" s="58"/>
      <c r="L21" s="58"/>
      <c r="M21" s="58"/>
      <c r="P21" s="58"/>
      <c r="Q21" s="58"/>
    </row>
    <row r="22" spans="1:31" ht="12.75">
      <c r="A22" s="30"/>
      <c r="B22" s="30"/>
      <c r="C22" s="30"/>
      <c r="D22" s="30"/>
      <c r="E22" s="30"/>
      <c r="F22" s="26"/>
      <c r="G22" s="26"/>
      <c r="H22" s="26"/>
      <c r="I22" s="26"/>
      <c r="J22" s="135"/>
      <c r="K22" s="26"/>
      <c r="L22" s="26"/>
      <c r="M22" s="26"/>
      <c r="N22" s="26"/>
      <c r="O22" s="26"/>
      <c r="P22" s="26"/>
      <c r="Q22" s="26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ht="12.75">
      <c r="A23" s="30"/>
      <c r="B23" s="30"/>
      <c r="C23" s="30"/>
      <c r="D23" s="30"/>
      <c r="E23" s="30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ht="12.75">
      <c r="A24" s="30"/>
      <c r="B24" s="30"/>
      <c r="C24" s="30"/>
      <c r="D24" s="30"/>
      <c r="E24" s="30"/>
      <c r="F24" s="26"/>
      <c r="G24" s="26"/>
      <c r="H24" s="135"/>
      <c r="I24" s="26"/>
      <c r="J24" s="26"/>
      <c r="K24" s="26"/>
      <c r="L24" s="26"/>
      <c r="M24" s="26"/>
      <c r="N24" s="26"/>
      <c r="O24" s="26"/>
      <c r="P24" s="26"/>
      <c r="Q24" s="26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ht="12.75">
      <c r="A25" s="30"/>
      <c r="B25" s="30"/>
      <c r="C25" s="30"/>
      <c r="D25" s="30"/>
      <c r="E25" s="30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ht="12.75">
      <c r="A26" s="30"/>
      <c r="B26" s="136"/>
      <c r="C26" s="136"/>
      <c r="D26" s="136"/>
      <c r="E26" s="136"/>
      <c r="F26" s="137"/>
      <c r="G26" s="137"/>
      <c r="H26" s="137"/>
      <c r="I26" s="137"/>
      <c r="J26" s="137"/>
      <c r="K26" s="137"/>
      <c r="L26" s="137"/>
      <c r="M26" s="26"/>
      <c r="N26" s="26"/>
      <c r="O26" s="26"/>
      <c r="P26" s="26"/>
      <c r="Q26" s="26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ht="12.75">
      <c r="A27" s="138"/>
      <c r="B27" s="139"/>
      <c r="C27" s="139"/>
      <c r="D27" s="139"/>
      <c r="E27" s="139"/>
      <c r="F27" s="97"/>
      <c r="G27" s="97"/>
      <c r="H27" s="97"/>
      <c r="I27" s="97"/>
      <c r="J27" s="97"/>
      <c r="K27" s="97"/>
      <c r="L27" s="26"/>
      <c r="M27" s="26"/>
      <c r="N27" s="26"/>
      <c r="O27" s="26"/>
      <c r="P27" s="26"/>
      <c r="Q27" s="26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ht="12.75">
      <c r="A28" s="138"/>
      <c r="B28" s="22"/>
      <c r="C28" s="22"/>
      <c r="D28" s="22"/>
      <c r="E28" s="22"/>
      <c r="F28" s="119"/>
      <c r="G28" s="119"/>
      <c r="H28" s="97"/>
      <c r="I28" s="97"/>
      <c r="J28" s="97"/>
      <c r="K28" s="97"/>
      <c r="L28" s="26"/>
      <c r="M28" s="26"/>
      <c r="N28" s="26"/>
      <c r="O28" s="26"/>
      <c r="P28" s="26"/>
      <c r="Q28" s="26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ht="12.75">
      <c r="A29" s="138"/>
      <c r="B29" s="22"/>
      <c r="C29" s="22"/>
      <c r="D29" s="22"/>
      <c r="E29" s="22"/>
      <c r="F29" s="137"/>
      <c r="G29" s="137"/>
      <c r="H29" s="97"/>
      <c r="I29" s="97"/>
      <c r="J29" s="97"/>
      <c r="K29" s="97"/>
      <c r="L29" s="26"/>
      <c r="M29" s="26"/>
      <c r="N29" s="26"/>
      <c r="O29" s="26"/>
      <c r="P29" s="26"/>
      <c r="Q29" s="26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ht="12.75">
      <c r="A30" s="138"/>
      <c r="B30" s="22"/>
      <c r="C30" s="22"/>
      <c r="D30" s="22"/>
      <c r="E30" s="22"/>
      <c r="F30" s="140"/>
      <c r="G30" s="140"/>
      <c r="H30" s="140"/>
      <c r="I30" s="140"/>
      <c r="J30" s="140"/>
      <c r="K30" s="140"/>
      <c r="L30" s="26"/>
      <c r="M30" s="26"/>
      <c r="N30" s="26"/>
      <c r="O30" s="26"/>
      <c r="P30" s="26"/>
      <c r="Q30" s="26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ht="12.75">
      <c r="A31" s="30"/>
      <c r="B31" s="22"/>
      <c r="C31" s="22"/>
      <c r="D31" s="22"/>
      <c r="E31" s="22"/>
      <c r="F31" s="30"/>
      <c r="G31" s="30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ht="12.75">
      <c r="A32" s="26"/>
      <c r="B32" s="22"/>
      <c r="C32" s="22"/>
      <c r="D32" s="22"/>
      <c r="E32" s="22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ht="12.75">
      <c r="A33" s="26"/>
      <c r="B33" s="22"/>
      <c r="C33" s="22"/>
      <c r="D33" s="22"/>
      <c r="E33" s="22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ht="12.75">
      <c r="A34" s="26"/>
      <c r="B34" s="139"/>
      <c r="C34" s="139"/>
      <c r="D34" s="139"/>
      <c r="E34" s="139"/>
      <c r="F34" s="97"/>
      <c r="G34" s="97"/>
      <c r="H34" s="97"/>
      <c r="I34" s="97"/>
      <c r="J34" s="97"/>
      <c r="K34" s="97"/>
      <c r="L34" s="26"/>
      <c r="M34" s="26"/>
      <c r="N34" s="26"/>
      <c r="O34" s="26"/>
      <c r="P34" s="26"/>
      <c r="Q34" s="26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ht="12.75">
      <c r="A35" s="26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26"/>
      <c r="M35" s="26"/>
      <c r="N35" s="26"/>
      <c r="O35" s="26"/>
      <c r="P35" s="26"/>
      <c r="Q35" s="26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ht="12.75">
      <c r="A36" s="26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26"/>
      <c r="M36" s="26"/>
      <c r="N36" s="26"/>
      <c r="O36" s="26"/>
      <c r="P36" s="26"/>
      <c r="Q36" s="26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ht="12.75">
      <c r="A37" s="26"/>
      <c r="B37" s="139"/>
      <c r="C37" s="139"/>
      <c r="D37" s="139"/>
      <c r="E37" s="141"/>
      <c r="F37" s="141"/>
      <c r="G37" s="141"/>
      <c r="H37" s="141"/>
      <c r="I37" s="141"/>
      <c r="J37" s="141"/>
      <c r="K37" s="141"/>
      <c r="L37" s="26"/>
      <c r="M37" s="26"/>
      <c r="N37" s="26"/>
      <c r="O37" s="26"/>
      <c r="P37" s="26"/>
      <c r="Q37" s="26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ht="12.75">
      <c r="A40" s="26"/>
      <c r="B40" s="142"/>
      <c r="C40" s="142"/>
      <c r="D40" s="142"/>
      <c r="E40" s="139"/>
      <c r="F40" s="22"/>
      <c r="G40" s="97"/>
      <c r="H40" s="97"/>
      <c r="I40" s="97"/>
      <c r="J40" s="97"/>
      <c r="K40" s="97"/>
      <c r="L40" s="26"/>
      <c r="M40" s="26"/>
      <c r="N40" s="26"/>
      <c r="O40" s="26"/>
      <c r="P40" s="26"/>
      <c r="Q40" s="26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ht="12.75">
      <c r="A41" s="26"/>
      <c r="B41" s="142"/>
      <c r="C41" s="142"/>
      <c r="D41" s="14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ht="12.75">
      <c r="A42" s="26"/>
      <c r="B42" s="142"/>
      <c r="C42" s="142"/>
      <c r="D42" s="14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ht="12.75">
      <c r="A45" s="26"/>
      <c r="B45" s="38"/>
      <c r="C45" s="38"/>
      <c r="D45" s="38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</sheetData>
  <printOptions/>
  <pageMargins left="0.84" right="0.75" top="0.66" bottom="1" header="0.92" footer="0"/>
  <pageSetup horizontalDpi="120" verticalDpi="120" orientation="landscape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L47"/>
  <sheetViews>
    <sheetView showGridLines="0" workbookViewId="0" topLeftCell="A1">
      <selection activeCell="I7" sqref="I7"/>
    </sheetView>
  </sheetViews>
  <sheetFormatPr defaultColWidth="11.421875" defaultRowHeight="12.75"/>
  <cols>
    <col min="1" max="1" width="26.8515625" style="0" customWidth="1"/>
    <col min="2" max="6" width="9.7109375" style="0" hidden="1" customWidth="1"/>
    <col min="7" max="8" width="9.7109375" style="0" customWidth="1"/>
    <col min="11" max="11" width="22.28125" style="0" customWidth="1"/>
    <col min="12" max="12" width="13.8515625" style="0" bestFit="1" customWidth="1"/>
  </cols>
  <sheetData>
    <row r="1" spans="1:10" ht="12.75">
      <c r="A1" s="22"/>
      <c r="B1" s="22"/>
      <c r="C1" s="22"/>
      <c r="D1" s="22"/>
      <c r="E1" s="22"/>
      <c r="F1" s="22"/>
      <c r="G1" s="22"/>
      <c r="H1" s="22"/>
      <c r="I1" s="1"/>
      <c r="J1" s="1"/>
    </row>
    <row r="2" spans="1:10" ht="12.75">
      <c r="A2" s="22"/>
      <c r="B2" s="133">
        <f>+Balance!B11</f>
        <v>33603</v>
      </c>
      <c r="C2" s="133">
        <f>+Balance!C11</f>
        <v>33969</v>
      </c>
      <c r="D2" s="133">
        <f>+Balance!D11</f>
        <v>34334</v>
      </c>
      <c r="E2" s="133">
        <f>+Balance!E11</f>
        <v>34699</v>
      </c>
      <c r="F2" s="133">
        <f>+Balance!F11</f>
        <v>35064</v>
      </c>
      <c r="G2" s="134">
        <f>+Balance!G11</f>
        <v>1996</v>
      </c>
      <c r="H2" s="134">
        <f>+Balance!H11</f>
        <v>1997</v>
      </c>
      <c r="I2" s="1"/>
      <c r="J2" s="1"/>
    </row>
    <row r="3" spans="1:11" ht="12.75">
      <c r="A3" s="34" t="s">
        <v>68</v>
      </c>
      <c r="B3" s="34"/>
      <c r="C3" s="34"/>
      <c r="D3" s="34"/>
      <c r="E3" s="34"/>
      <c r="F3" s="34"/>
      <c r="G3" s="22"/>
      <c r="H3" s="22"/>
      <c r="I3" s="1"/>
      <c r="J3" s="1"/>
      <c r="K3" s="167" t="s">
        <v>73</v>
      </c>
    </row>
    <row r="4" spans="1:12" ht="12.75">
      <c r="A4" s="22" t="s">
        <v>47</v>
      </c>
      <c r="B4" s="36" t="e">
        <f>+Balance!B17/Balance!B26</f>
        <v>#DIV/0!</v>
      </c>
      <c r="C4" s="36" t="e">
        <f>+Balance!C17/Balance!C26</f>
        <v>#DIV/0!</v>
      </c>
      <c r="D4" s="36" t="e">
        <f>+Balance!D17/Balance!D26</f>
        <v>#DIV/0!</v>
      </c>
      <c r="E4" s="36" t="e">
        <f>+Balance!E17/Balance!E26</f>
        <v>#DIV/0!</v>
      </c>
      <c r="F4" s="36" t="e">
        <f>+Balance!F17/Balance!F26</f>
        <v>#DIV/0!</v>
      </c>
      <c r="G4" s="37">
        <f>+Balance!G17/Balance!G26</f>
        <v>2.9113892056975654</v>
      </c>
      <c r="H4" s="37">
        <f>+Balance!H17/Balance!H26</f>
        <v>3.2008371531916584</v>
      </c>
      <c r="I4" s="1"/>
      <c r="J4" s="1"/>
      <c r="K4" t="s">
        <v>74</v>
      </c>
      <c r="L4" s="63">
        <v>1990873</v>
      </c>
    </row>
    <row r="5" spans="1:12" ht="12.75">
      <c r="A5" s="22" t="s">
        <v>46</v>
      </c>
      <c r="B5" s="36" t="e">
        <f>(Balance!B17-Balance!B15)/Balance!B26</f>
        <v>#DIV/0!</v>
      </c>
      <c r="C5" s="36" t="e">
        <f>(Balance!C17-Balance!C15)/Balance!C26</f>
        <v>#DIV/0!</v>
      </c>
      <c r="D5" s="36" t="e">
        <f>(Balance!D17-Balance!D15)/Balance!D26</f>
        <v>#DIV/0!</v>
      </c>
      <c r="E5" s="36" t="e">
        <f>(Balance!E17-Balance!E15)/Balance!E26</f>
        <v>#DIV/0!</v>
      </c>
      <c r="F5" s="36" t="e">
        <f>(Balance!F17-Balance!F15)/Balance!F26</f>
        <v>#DIV/0!</v>
      </c>
      <c r="G5" s="37">
        <f>(Balance!G17-Balance!G15)/Balance!G26</f>
        <v>2.563902714851698</v>
      </c>
      <c r="H5" s="37">
        <f>(Balance!H17-Balance!H15)/Balance!H26</f>
        <v>2.542862791047722</v>
      </c>
      <c r="I5" s="1"/>
      <c r="J5" s="1"/>
      <c r="K5" t="s">
        <v>75</v>
      </c>
      <c r="L5" s="63">
        <v>26443398</v>
      </c>
    </row>
    <row r="6" spans="1:10" ht="12.75">
      <c r="A6" s="22" t="s">
        <v>72</v>
      </c>
      <c r="B6" s="36"/>
      <c r="C6" s="36"/>
      <c r="D6" s="36"/>
      <c r="E6" s="36"/>
      <c r="F6" s="36"/>
      <c r="G6" s="37">
        <f>+(Balance!G12+Balance!G13)/(Balance!G25+Balance!G22+Balance!G24)</f>
        <v>1.1738574421372816</v>
      </c>
      <c r="H6" s="37">
        <f>+(Balance!H12+Balance!H13)/(Balance!H25+Balance!H22+Balance!H24)</f>
        <v>1.1203722124399222</v>
      </c>
      <c r="I6" s="1"/>
      <c r="J6" s="1"/>
    </row>
    <row r="7" spans="1:10" ht="12.75">
      <c r="A7" s="22"/>
      <c r="B7" s="22"/>
      <c r="C7" s="22"/>
      <c r="D7" s="22"/>
      <c r="E7" s="22"/>
      <c r="F7" s="22"/>
      <c r="G7" s="37"/>
      <c r="H7" s="37"/>
      <c r="I7" s="1"/>
      <c r="J7" s="1"/>
    </row>
    <row r="8" spans="1:10" ht="12.75">
      <c r="A8" s="34" t="s">
        <v>69</v>
      </c>
      <c r="B8" s="34"/>
      <c r="C8" s="34"/>
      <c r="D8" s="34"/>
      <c r="E8" s="34"/>
      <c r="F8" s="34"/>
      <c r="G8" s="165"/>
      <c r="H8" s="165"/>
      <c r="I8" s="1"/>
      <c r="J8" s="1"/>
    </row>
    <row r="9" spans="1:10" ht="12.75">
      <c r="A9" s="22" t="s">
        <v>44</v>
      </c>
      <c r="B9" s="28" t="e">
        <f>+Balance!B30/Balance!B21</f>
        <v>#DIV/0!</v>
      </c>
      <c r="C9" s="28" t="e">
        <f>+Balance!C30/Balance!C21</f>
        <v>#DIV/0!</v>
      </c>
      <c r="D9" s="28" t="e">
        <f>+Balance!D30/Balance!D21</f>
        <v>#DIV/0!</v>
      </c>
      <c r="E9" s="28" t="e">
        <f>+Balance!E30/Balance!E21</f>
        <v>#DIV/0!</v>
      </c>
      <c r="F9" s="28" t="e">
        <f>+Balance!F30/Balance!F21</f>
        <v>#DIV/0!</v>
      </c>
      <c r="G9" s="166">
        <f>+Balance!G30/Balance!G21</f>
        <v>0.2746076981882111</v>
      </c>
      <c r="H9" s="166">
        <f>+Balance!H30/Balance!H21</f>
        <v>0.23993430934814253</v>
      </c>
      <c r="I9" s="1"/>
      <c r="J9" s="1"/>
    </row>
    <row r="10" spans="1:10" ht="12.75">
      <c r="A10" s="22" t="s">
        <v>45</v>
      </c>
      <c r="B10" s="28" t="e">
        <f>+Balance!B30/Balance!B32</f>
        <v>#DIV/0!</v>
      </c>
      <c r="C10" s="28" t="e">
        <f>+Balance!C30/Balance!C32</f>
        <v>#DIV/0!</v>
      </c>
      <c r="D10" s="28" t="e">
        <f>+Balance!D30/Balance!D32</f>
        <v>#DIV/0!</v>
      </c>
      <c r="E10" s="28" t="e">
        <f>+Balance!E30/Balance!E32</f>
        <v>#DIV/0!</v>
      </c>
      <c r="F10" s="28" t="e">
        <f>+Balance!F30/Balance!F32</f>
        <v>#DIV/0!</v>
      </c>
      <c r="G10" s="166">
        <f>+Balance!G30/Balance!G32</f>
        <v>0.3785643954344875</v>
      </c>
      <c r="H10" s="166">
        <f>+Balance!H30/Balance!H32</f>
        <v>0.3156757531607129</v>
      </c>
      <c r="I10" s="1"/>
      <c r="J10" s="1"/>
    </row>
    <row r="11" spans="1:10" ht="12.75">
      <c r="A11" s="22" t="s">
        <v>54</v>
      </c>
      <c r="B11" s="37" t="e">
        <f>+'Est. resultados'!B9/'Est. resultados'!B10</f>
        <v>#DIV/0!</v>
      </c>
      <c r="C11" s="37" t="e">
        <f>+'Est. resultados'!C9/'Est. resultados'!C10</f>
        <v>#DIV/0!</v>
      </c>
      <c r="D11" s="37" t="e">
        <f>+'Est. resultados'!D9/'Est. resultados'!D10</f>
        <v>#DIV/0!</v>
      </c>
      <c r="E11" s="37" t="e">
        <f>+'Est. resultados'!E9/'Est. resultados'!E10</f>
        <v>#DIV/0!</v>
      </c>
      <c r="F11" s="37" t="e">
        <f>+'Est. resultados'!F9/'Est. resultados'!F10</f>
        <v>#DIV/0!</v>
      </c>
      <c r="G11" s="37">
        <f>+'Est. resultados'!G9/'Est. resultados'!G10</f>
        <v>88.29025024150145</v>
      </c>
      <c r="H11" s="37">
        <f>+'Est. resultados'!H9/'Est. resultados'!H10</f>
        <v>62.18670401918624</v>
      </c>
      <c r="I11" s="1"/>
      <c r="J11" s="1"/>
    </row>
    <row r="12" spans="1:10" ht="12.75">
      <c r="A12" s="5"/>
      <c r="B12" s="22"/>
      <c r="C12" s="22"/>
      <c r="D12" s="22"/>
      <c r="E12" s="22"/>
      <c r="F12" s="22"/>
      <c r="G12" s="22"/>
      <c r="H12" s="22"/>
      <c r="I12" s="1"/>
      <c r="J12" s="1"/>
    </row>
    <row r="13" spans="1:10" ht="12.75">
      <c r="A13" s="34" t="s">
        <v>70</v>
      </c>
      <c r="B13" s="34"/>
      <c r="C13" s="34"/>
      <c r="D13" s="34"/>
      <c r="E13" s="34"/>
      <c r="F13" s="34"/>
      <c r="G13" s="34"/>
      <c r="H13" s="34"/>
      <c r="I13" s="1"/>
      <c r="J13" s="1"/>
    </row>
    <row r="14" spans="1:10" ht="12.75">
      <c r="A14" s="22" t="s">
        <v>48</v>
      </c>
      <c r="B14" s="26" t="e">
        <f>+Balance!B15/'Est. resultados'!B5*365</f>
        <v>#DIV/0!</v>
      </c>
      <c r="C14" s="26" t="e">
        <f>+Balance!C15/'Est. resultados'!C5*365</f>
        <v>#DIV/0!</v>
      </c>
      <c r="D14" s="26" t="e">
        <f>+Balance!D15/'Est. resultados'!D5*365</f>
        <v>#DIV/0!</v>
      </c>
      <c r="E14" s="26" t="e">
        <f>+Balance!E15/'Est. resultados'!E5*365</f>
        <v>#DIV/0!</v>
      </c>
      <c r="F14" s="26" t="e">
        <f>+Balance!F15/'Est. resultados'!F5*365</f>
        <v>#DIV/0!</v>
      </c>
      <c r="G14" s="26">
        <f>+Balance!G15/'Est. resultados'!G5*365</f>
        <v>31.16002255565782</v>
      </c>
      <c r="H14" s="26">
        <f>+Balance!H15/'Est. resultados'!H5*365</f>
        <v>61.23592532799889</v>
      </c>
      <c r="I14" s="1"/>
      <c r="J14" s="1"/>
    </row>
    <row r="15" spans="1:10" ht="12.75">
      <c r="A15" s="22" t="s">
        <v>49</v>
      </c>
      <c r="B15" s="36" t="e">
        <f>+'Est. resultados'!B5/Balance!B15</f>
        <v>#DIV/0!</v>
      </c>
      <c r="C15" s="36" t="e">
        <f>+'Est. resultados'!C5/Balance!C15</f>
        <v>#DIV/0!</v>
      </c>
      <c r="D15" s="36" t="e">
        <f>+'Est. resultados'!D5/Balance!D15</f>
        <v>#DIV/0!</v>
      </c>
      <c r="E15" s="36" t="e">
        <f>+'Est. resultados'!E5/Balance!E15</f>
        <v>#DIV/0!</v>
      </c>
      <c r="F15" s="36" t="e">
        <f>+'Est. resultados'!F5/Balance!F15</f>
        <v>#DIV/0!</v>
      </c>
      <c r="G15" s="36">
        <f>+'Est. resultados'!G5/Balance!G15</f>
        <v>11.713727079241982</v>
      </c>
      <c r="H15" s="36">
        <f>+'Est. resultados'!H5/Balance!H15</f>
        <v>5.960553352381713</v>
      </c>
      <c r="I15" s="1"/>
      <c r="J15" s="1"/>
    </row>
    <row r="16" spans="1:10" ht="12.75">
      <c r="A16" s="22" t="s">
        <v>50</v>
      </c>
      <c r="B16" s="26" t="e">
        <f>+Balance!B14/'Est. resultados'!B4*365</f>
        <v>#DIV/0!</v>
      </c>
      <c r="C16" s="26" t="e">
        <f>+Balance!C14/'Est. resultados'!C4*365</f>
        <v>#DIV/0!</v>
      </c>
      <c r="D16" s="26" t="e">
        <f>+Balance!D14/'Est. resultados'!D4*365</f>
        <v>#DIV/0!</v>
      </c>
      <c r="E16" s="26" t="e">
        <f>+Balance!E14/'Est. resultados'!E4*365</f>
        <v>#DIV/0!</v>
      </c>
      <c r="F16" s="26" t="e">
        <f>+Balance!F14/'Est. resultados'!F4*365</f>
        <v>#DIV/0!</v>
      </c>
      <c r="G16" s="26">
        <f>+Balance!G14/'Est. resultados'!G4*365</f>
        <v>92.72788038321295</v>
      </c>
      <c r="H16" s="26">
        <f>+Balance!H14/'Est. resultados'!H4*365</f>
        <v>88.97578310632397</v>
      </c>
      <c r="I16" s="1"/>
      <c r="J16" s="1"/>
    </row>
    <row r="17" spans="1:10" ht="12.75">
      <c r="A17" s="22" t="s">
        <v>51</v>
      </c>
      <c r="B17" s="36" t="e">
        <f>+'Est. resultados'!B4/Balance!B18</f>
        <v>#DIV/0!</v>
      </c>
      <c r="C17" s="36" t="e">
        <f>+'Est. resultados'!C4/Balance!C18</f>
        <v>#DIV/0!</v>
      </c>
      <c r="D17" s="36" t="e">
        <f>+'Est. resultados'!D4/Balance!D18</f>
        <v>#DIV/0!</v>
      </c>
      <c r="E17" s="36" t="e">
        <f>+'Est. resultados'!E4/Balance!E18</f>
        <v>#DIV/0!</v>
      </c>
      <c r="F17" s="36" t="e">
        <f>+'Est. resultados'!F4/Balance!F18</f>
        <v>#DIV/0!</v>
      </c>
      <c r="G17" s="36">
        <f>+'Est. resultados'!G4/Balance!G18</f>
        <v>5.008020690183959</v>
      </c>
      <c r="H17" s="36">
        <f>+'Est. resultados'!H4/Balance!H18</f>
        <v>3.9933900758955456</v>
      </c>
      <c r="I17" s="1"/>
      <c r="J17" s="1"/>
    </row>
    <row r="18" spans="1:10" ht="12.75">
      <c r="A18" s="22" t="s">
        <v>52</v>
      </c>
      <c r="B18" s="36" t="e">
        <f>+'Est. resultados'!B4/Balance!B21</f>
        <v>#DIV/0!</v>
      </c>
      <c r="C18" s="36" t="e">
        <f>+'Est. resultados'!C4/Balance!C21</f>
        <v>#DIV/0!</v>
      </c>
      <c r="D18" s="36" t="e">
        <f>+'Est. resultados'!D4/Balance!D21</f>
        <v>#DIV/0!</v>
      </c>
      <c r="E18" s="36" t="e">
        <f>+'Est. resultados'!E4/Balance!E21</f>
        <v>#DIV/0!</v>
      </c>
      <c r="F18" s="36" t="e">
        <f>+'Est. resultados'!F4/Balance!F21</f>
        <v>#DIV/0!</v>
      </c>
      <c r="G18" s="36">
        <f>+'Est. resultados'!G4/Balance!G21</f>
        <v>1.4366629532361208</v>
      </c>
      <c r="H18" s="36">
        <f>+'Est. resultados'!H4/Balance!H21</f>
        <v>1.2662401036123683</v>
      </c>
      <c r="I18" s="1"/>
      <c r="J18" s="1"/>
    </row>
    <row r="19" spans="1:10" ht="12.75">
      <c r="A19" s="22"/>
      <c r="B19" s="36"/>
      <c r="C19" s="36"/>
      <c r="D19" s="36"/>
      <c r="E19" s="36"/>
      <c r="F19" s="36"/>
      <c r="G19" s="36"/>
      <c r="H19" s="36"/>
      <c r="I19" s="1"/>
      <c r="J19" s="1"/>
    </row>
    <row r="20" spans="1:10" ht="12.75">
      <c r="A20" s="34" t="s">
        <v>71</v>
      </c>
      <c r="B20" s="36"/>
      <c r="C20" s="36"/>
      <c r="D20" s="36"/>
      <c r="E20" s="36"/>
      <c r="F20" s="36"/>
      <c r="G20" s="36"/>
      <c r="H20" s="36"/>
      <c r="I20" s="1"/>
      <c r="J20" s="1"/>
    </row>
    <row r="21" spans="1:10" ht="12.75">
      <c r="A21" s="22" t="s">
        <v>53</v>
      </c>
      <c r="B21" s="29" t="e">
        <f>((Balance!B22+Balance!C22)/2)/#REF!*365</f>
        <v>#REF!</v>
      </c>
      <c r="C21" s="29" t="e">
        <f>((Balance!C22+Balance!D22)/2)/#REF!*365</f>
        <v>#REF!</v>
      </c>
      <c r="D21" s="29" t="e">
        <f>((Balance!D22+Balance!E22)/2)/#REF!*365</f>
        <v>#REF!</v>
      </c>
      <c r="E21" s="29" t="e">
        <f>((Balance!E22+Balance!F22)/2)/#REF!*365</f>
        <v>#REF!</v>
      </c>
      <c r="F21" s="29" t="e">
        <f>((Balance!F22+Balance!G22)/2)/#REF!*365</f>
        <v>#REF!</v>
      </c>
      <c r="G21" s="29"/>
      <c r="H21" s="168">
        <f>+Balance!H22/'Ratios financieros'!L5*365</f>
        <v>62.83773193596375</v>
      </c>
      <c r="I21" s="1"/>
      <c r="J21" s="1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1"/>
      <c r="J22" s="1"/>
    </row>
    <row r="23" spans="1:10" ht="12.75">
      <c r="A23" s="34" t="s">
        <v>7</v>
      </c>
      <c r="B23" s="34"/>
      <c r="C23" s="34"/>
      <c r="D23" s="34"/>
      <c r="E23" s="34"/>
      <c r="F23" s="34"/>
      <c r="G23" s="34"/>
      <c r="H23" s="34"/>
      <c r="I23" s="1"/>
      <c r="J23" s="1"/>
    </row>
    <row r="24" spans="1:10" ht="12.75">
      <c r="A24" s="164" t="s">
        <v>8</v>
      </c>
      <c r="B24" s="28" t="e">
        <f>+'Est. resultados'!B16/'Est. resultados'!B4</f>
        <v>#REF!</v>
      </c>
      <c r="C24" s="28" t="e">
        <f>+'Est. resultados'!C16/'Est. resultados'!C4</f>
        <v>#REF!</v>
      </c>
      <c r="D24" s="28" t="e">
        <f>+'Est. resultados'!D16/'Est. resultados'!D4</f>
        <v>#REF!</v>
      </c>
      <c r="E24" s="28" t="e">
        <f>+'Est. resultados'!E16/'Est. resultados'!E4</f>
        <v>#REF!</v>
      </c>
      <c r="F24" s="28" t="e">
        <f>+'Est. resultados'!F16/'Est. resultados'!F4</f>
        <v>#REF!</v>
      </c>
      <c r="G24" s="28">
        <f>+'Est. resultados'!G16/'Est. resultados'!G4</f>
        <v>0.11776728646837394</v>
      </c>
      <c r="H24" s="28">
        <f>+'Est. resultados'!H16/'Est. resultados'!H4</f>
        <v>0.108820924986952</v>
      </c>
      <c r="I24" s="1"/>
      <c r="J24" s="1"/>
    </row>
    <row r="25" spans="1:10" ht="12.75">
      <c r="A25" s="164" t="s">
        <v>6</v>
      </c>
      <c r="B25" s="28" t="e">
        <f>+'Est. resultados'!B9/Balance!B21</f>
        <v>#DIV/0!</v>
      </c>
      <c r="C25" s="28" t="e">
        <f>+'Est. resultados'!C9/Balance!C21</f>
        <v>#DIV/0!</v>
      </c>
      <c r="D25" s="28" t="e">
        <f>+'Est. resultados'!D9/Balance!D21</f>
        <v>#DIV/0!</v>
      </c>
      <c r="E25" s="28" t="e">
        <f>+'Est. resultados'!E9/Balance!E21</f>
        <v>#DIV/0!</v>
      </c>
      <c r="F25" s="28" t="e">
        <f>+'Est. resultados'!F9/Balance!F21</f>
        <v>#DIV/0!</v>
      </c>
      <c r="G25" s="28">
        <f>+'Est. resultados'!G9/Balance!G21</f>
        <v>0.2597980237140909</v>
      </c>
      <c r="H25" s="28">
        <f>+'Est. resultados'!H9/Balance!H21</f>
        <v>0.20304525369142856</v>
      </c>
      <c r="I25" s="1"/>
      <c r="J25" s="1"/>
    </row>
    <row r="26" spans="1:10" ht="12.75">
      <c r="A26" s="164" t="s">
        <v>2</v>
      </c>
      <c r="B26" s="28" t="e">
        <f>+'Est. resultados'!B16/Balance!B21</f>
        <v>#REF!</v>
      </c>
      <c r="C26" s="28" t="e">
        <f>+'Est. resultados'!C16/Balance!C21</f>
        <v>#REF!</v>
      </c>
      <c r="D26" s="28" t="e">
        <f>+'Est. resultados'!D16/Balance!D21</f>
        <v>#REF!</v>
      </c>
      <c r="E26" s="28" t="e">
        <f>+'Est. resultados'!E16/Balance!E21</f>
        <v>#REF!</v>
      </c>
      <c r="F26" s="28" t="e">
        <f>+'Est. resultados'!F16/Balance!F21</f>
        <v>#REF!</v>
      </c>
      <c r="G26" s="28">
        <f>+'Est. resultados'!G16/Balance!G21</f>
        <v>0.16919189757225836</v>
      </c>
      <c r="H26" s="28">
        <f>+'Est. resultados'!H16/Balance!H21</f>
        <v>0.13779341933067185</v>
      </c>
      <c r="I26" s="1"/>
      <c r="J26" s="1"/>
    </row>
    <row r="27" spans="1:10" ht="12.75">
      <c r="A27" s="164" t="s">
        <v>5</v>
      </c>
      <c r="B27" s="28" t="e">
        <f>+'Est. resultados'!B16/Balance!B32</f>
        <v>#REF!</v>
      </c>
      <c r="C27" s="28" t="e">
        <f>+'Est. resultados'!C16/Balance!C32</f>
        <v>#REF!</v>
      </c>
      <c r="D27" s="28" t="e">
        <f>+'Est. resultados'!D16/Balance!D32</f>
        <v>#REF!</v>
      </c>
      <c r="E27" s="28" t="e">
        <f>+'Est. resultados'!E16/Balance!E32</f>
        <v>#REF!</v>
      </c>
      <c r="F27" s="28" t="e">
        <f>+'Est. resultados'!F16/Balance!F32</f>
        <v>#REF!</v>
      </c>
      <c r="G27" s="28">
        <f>+'Est. resultados'!G16/Balance!G32</f>
        <v>0.23324192598911406</v>
      </c>
      <c r="H27" s="39">
        <f>+'Est. resultados'!H16/Balance!H32</f>
        <v>0.18129146075847163</v>
      </c>
      <c r="I27" s="1"/>
      <c r="J27" s="1"/>
    </row>
    <row r="28" spans="1:10" ht="12.75">
      <c r="A28" s="164" t="s">
        <v>78</v>
      </c>
      <c r="B28" s="28"/>
      <c r="C28" s="28"/>
      <c r="D28" s="28"/>
      <c r="E28" s="28"/>
      <c r="F28" s="28"/>
      <c r="G28" s="28"/>
      <c r="H28" s="28"/>
      <c r="I28" s="1"/>
      <c r="J28" s="1"/>
    </row>
    <row r="29" spans="1:10" ht="12.75">
      <c r="A29" s="164"/>
      <c r="B29" s="28"/>
      <c r="C29" s="28"/>
      <c r="D29" s="28"/>
      <c r="E29" s="28"/>
      <c r="F29" s="28"/>
      <c r="G29" s="28"/>
      <c r="H29" s="28"/>
      <c r="I29" s="1"/>
      <c r="J29" s="1"/>
    </row>
    <row r="30" spans="1:10" ht="12.75">
      <c r="A30" s="34" t="s">
        <v>77</v>
      </c>
      <c r="B30" s="28"/>
      <c r="C30" s="28"/>
      <c r="D30" s="28"/>
      <c r="E30" s="28"/>
      <c r="F30" s="28"/>
      <c r="G30" s="28"/>
      <c r="H30" s="28"/>
      <c r="I30" s="1"/>
      <c r="J30" s="1"/>
    </row>
    <row r="31" spans="1:10" ht="12.75">
      <c r="A31" s="22" t="s">
        <v>76</v>
      </c>
      <c r="B31" s="37" t="e">
        <f>+'Est. resultados'!B14/'Est. resultados'!B13</f>
        <v>#REF!</v>
      </c>
      <c r="C31" s="37" t="e">
        <f>+'Est. resultados'!C14/'Est. resultados'!C13</f>
        <v>#REF!</v>
      </c>
      <c r="D31" s="37" t="e">
        <f>+'Est. resultados'!D14/'Est. resultados'!D13</f>
        <v>#REF!</v>
      </c>
      <c r="E31" s="37" t="e">
        <f>+'Est. resultados'!E14/'Est. resultados'!E13</f>
        <v>#REF!</v>
      </c>
      <c r="F31" s="37" t="e">
        <f>+'Est. resultados'!F14/'Est. resultados'!F13</f>
        <v>#REF!</v>
      </c>
      <c r="G31" s="28">
        <f>+'Est. resultados'!G14/'Est. resultados'!G13</f>
        <v>0.3907808147733893</v>
      </c>
      <c r="H31" s="28">
        <f>+'Est. resultados'!H14/'Est. resultados'!H13</f>
        <v>0.3489560134895601</v>
      </c>
      <c r="I31" s="198"/>
      <c r="J31" s="1"/>
    </row>
    <row r="32" spans="1:10" ht="12.75">
      <c r="A32" s="22"/>
      <c r="B32" s="22"/>
      <c r="C32" s="22"/>
      <c r="D32" s="22"/>
      <c r="E32" s="22"/>
      <c r="F32" s="22"/>
      <c r="G32" s="22"/>
      <c r="H32" s="22"/>
      <c r="I32" s="1"/>
      <c r="J32" s="1"/>
    </row>
    <row r="33" spans="1:10" ht="12.75">
      <c r="A33" s="22"/>
      <c r="B33" s="22"/>
      <c r="C33" s="22"/>
      <c r="D33" s="22"/>
      <c r="E33" s="22"/>
      <c r="F33" s="22"/>
      <c r="G33" s="22"/>
      <c r="H33" s="22"/>
      <c r="I33" s="1"/>
      <c r="J33" s="1"/>
    </row>
    <row r="34" spans="1:10" ht="12.75">
      <c r="A34" s="22"/>
      <c r="B34" s="22"/>
      <c r="C34" s="22"/>
      <c r="D34" s="22"/>
      <c r="E34" s="22"/>
      <c r="F34" s="22"/>
      <c r="G34" s="22"/>
      <c r="H34" s="22"/>
      <c r="I34" s="1"/>
      <c r="J34" s="1"/>
    </row>
    <row r="35" spans="1:10" ht="12.75">
      <c r="A35" s="22"/>
      <c r="B35" s="22"/>
      <c r="C35" s="22"/>
      <c r="D35" s="22"/>
      <c r="E35" s="22"/>
      <c r="F35" s="22"/>
      <c r="G35" s="22"/>
      <c r="H35" s="22"/>
      <c r="I35" s="1"/>
      <c r="J35" s="1"/>
    </row>
    <row r="36" spans="1:10" ht="12.75">
      <c r="A36" s="22"/>
      <c r="B36" s="22"/>
      <c r="C36" s="22"/>
      <c r="D36" s="22"/>
      <c r="E36" s="22"/>
      <c r="F36" s="22"/>
      <c r="G36" s="22"/>
      <c r="H36" s="22"/>
      <c r="I36" s="1"/>
      <c r="J36" s="1"/>
    </row>
    <row r="37" spans="1:10" ht="12.75">
      <c r="A37" s="22"/>
      <c r="B37" s="22"/>
      <c r="C37" s="22"/>
      <c r="D37" s="22"/>
      <c r="E37" s="22"/>
      <c r="F37" s="22"/>
      <c r="G37" s="22"/>
      <c r="H37" s="22"/>
      <c r="I37" s="1"/>
      <c r="J37" s="1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1"/>
      <c r="J38" s="1"/>
    </row>
    <row r="39" spans="1:10" ht="12.75">
      <c r="A39" s="22"/>
      <c r="B39" s="22"/>
      <c r="C39" s="22"/>
      <c r="D39" s="22"/>
      <c r="E39" s="22"/>
      <c r="F39" s="22"/>
      <c r="G39" s="22"/>
      <c r="H39" s="22"/>
      <c r="I39" s="1"/>
      <c r="J39" s="1"/>
    </row>
    <row r="40" spans="1:10" ht="12.75">
      <c r="A40" s="22"/>
      <c r="B40" s="22"/>
      <c r="C40" s="22"/>
      <c r="D40" s="22"/>
      <c r="E40" s="22"/>
      <c r="F40" s="22"/>
      <c r="G40" s="22"/>
      <c r="H40" s="22"/>
      <c r="I40" s="1"/>
      <c r="J40" s="1"/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spans="1:8" ht="12.75">
      <c r="A43" s="24"/>
      <c r="B43" s="24"/>
      <c r="C43" s="24"/>
      <c r="D43" s="24"/>
      <c r="E43" s="24"/>
      <c r="F43" s="24"/>
      <c r="G43" s="24"/>
      <c r="H43" s="24"/>
    </row>
    <row r="44" spans="1:8" ht="12.75">
      <c r="A44" s="24"/>
      <c r="B44" s="24"/>
      <c r="C44" s="24"/>
      <c r="D44" s="24"/>
      <c r="E44" s="24"/>
      <c r="F44" s="24"/>
      <c r="G44" s="24"/>
      <c r="H44" s="24"/>
    </row>
    <row r="45" spans="1:8" ht="12.75">
      <c r="A45" s="24"/>
      <c r="B45" s="24"/>
      <c r="C45" s="24"/>
      <c r="D45" s="24"/>
      <c r="E45" s="24"/>
      <c r="F45" s="24"/>
      <c r="G45" s="24"/>
      <c r="H45" s="24"/>
    </row>
    <row r="46" spans="1:8" ht="12.75">
      <c r="A46" s="24"/>
      <c r="B46" s="24"/>
      <c r="C46" s="24"/>
      <c r="D46" s="24"/>
      <c r="E46" s="24"/>
      <c r="F46" s="24"/>
      <c r="G46" s="24"/>
      <c r="H46" s="24"/>
    </row>
    <row r="47" spans="1:8" ht="12.75">
      <c r="A47" s="24"/>
      <c r="B47" s="24"/>
      <c r="C47" s="24"/>
      <c r="D47" s="24"/>
      <c r="E47" s="24"/>
      <c r="F47" s="24"/>
      <c r="G47" s="24"/>
      <c r="H47" s="24"/>
    </row>
  </sheetData>
  <printOptions/>
  <pageMargins left="0.7874015748031497" right="0.75" top="0.63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4"/>
  <sheetViews>
    <sheetView showGridLines="0" tabSelected="1" workbookViewId="0" topLeftCell="A1">
      <selection activeCell="L10" sqref="L10"/>
    </sheetView>
  </sheetViews>
  <sheetFormatPr defaultColWidth="11.421875" defaultRowHeight="12.75"/>
  <cols>
    <col min="1" max="1" width="3.8515625" style="0" customWidth="1"/>
    <col min="2" max="2" width="12.8515625" style="0" customWidth="1"/>
    <col min="3" max="3" width="3.57421875" style="0" customWidth="1"/>
    <col min="4" max="4" width="18.00390625" style="0" customWidth="1"/>
    <col min="5" max="5" width="6.7109375" style="0" customWidth="1"/>
    <col min="6" max="6" width="30.28125" style="0" customWidth="1"/>
    <col min="7" max="7" width="22.140625" style="0" customWidth="1"/>
    <col min="8" max="8" width="8.140625" style="0" customWidth="1"/>
    <col min="10" max="10" width="10.421875" style="0" customWidth="1"/>
  </cols>
  <sheetData>
    <row r="1" spans="2:13" ht="15"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2:13" ht="15.75">
      <c r="B2" s="180"/>
      <c r="C2" s="180"/>
      <c r="D2" s="180"/>
      <c r="E2" s="180"/>
      <c r="F2" s="181" t="s">
        <v>31</v>
      </c>
      <c r="G2" s="182">
        <f>+'Est. resultados'!H4</f>
        <v>37515340</v>
      </c>
      <c r="H2" s="180"/>
      <c r="I2" s="180"/>
      <c r="J2" s="180"/>
      <c r="K2" s="180"/>
      <c r="L2" s="180"/>
      <c r="M2" s="180"/>
    </row>
    <row r="3" spans="2:13" ht="15.75">
      <c r="B3" s="180"/>
      <c r="C3" s="180"/>
      <c r="D3" s="180"/>
      <c r="E3" s="180"/>
      <c r="F3" s="180"/>
      <c r="G3" s="180"/>
      <c r="H3" s="183" t="s">
        <v>56</v>
      </c>
      <c r="I3" s="180"/>
      <c r="J3" s="180"/>
      <c r="K3" s="180"/>
      <c r="L3" s="180"/>
      <c r="M3" s="180"/>
    </row>
    <row r="4" spans="2:13" ht="15.75">
      <c r="B4" s="180"/>
      <c r="C4" s="180"/>
      <c r="D4" s="184" t="s">
        <v>57</v>
      </c>
      <c r="E4" s="180"/>
      <c r="F4" s="180" t="s">
        <v>32</v>
      </c>
      <c r="G4" s="185">
        <f>+'Est. resultados'!H5</f>
        <v>24778819</v>
      </c>
      <c r="H4" s="186">
        <f>+G4/$G$2</f>
        <v>0.6604983188210476</v>
      </c>
      <c r="I4" s="180"/>
      <c r="J4" s="180"/>
      <c r="K4" s="180"/>
      <c r="L4" s="180"/>
      <c r="M4" s="180"/>
    </row>
    <row r="5" spans="2:13" ht="15.75">
      <c r="B5" s="180"/>
      <c r="C5" s="180"/>
      <c r="D5" s="187">
        <f>+G6-G7</f>
        <v>3910200.45</v>
      </c>
      <c r="E5" s="180"/>
      <c r="F5" s="180" t="s">
        <v>79</v>
      </c>
      <c r="G5" s="185">
        <f>+'Est. resultados'!H7+'Est. resultados'!H8</f>
        <v>6720828</v>
      </c>
      <c r="H5" s="186">
        <f>+G5/$G$2</f>
        <v>0.17914879619910148</v>
      </c>
      <c r="I5" s="180"/>
      <c r="J5" s="180"/>
      <c r="K5" s="180"/>
      <c r="L5" s="180"/>
      <c r="M5" s="180"/>
    </row>
    <row r="6" spans="2:13" ht="15.75">
      <c r="B6" s="180"/>
      <c r="C6" s="180"/>
      <c r="D6" s="188"/>
      <c r="E6" s="180"/>
      <c r="F6" s="181" t="s">
        <v>0</v>
      </c>
      <c r="G6" s="182">
        <f>+G2-G4-G5</f>
        <v>6015693</v>
      </c>
      <c r="H6" s="186">
        <f>+G6/$G$2</f>
        <v>0.1603528849798509</v>
      </c>
      <c r="I6" s="180"/>
      <c r="J6" s="180"/>
      <c r="K6" s="180"/>
      <c r="L6" s="180"/>
      <c r="M6" s="180"/>
    </row>
    <row r="7" spans="2:13" ht="15">
      <c r="B7" s="180"/>
      <c r="C7" s="180"/>
      <c r="D7" s="188"/>
      <c r="E7" s="180"/>
      <c r="F7" s="180" t="s">
        <v>58</v>
      </c>
      <c r="G7" s="185">
        <f>+G6*0.35</f>
        <v>2105492.55</v>
      </c>
      <c r="H7" s="185"/>
      <c r="I7" s="180"/>
      <c r="J7" s="180"/>
      <c r="K7" s="180"/>
      <c r="L7" s="180"/>
      <c r="M7" s="180"/>
    </row>
    <row r="8" spans="2:13" ht="15.75">
      <c r="B8" s="184" t="s">
        <v>10</v>
      </c>
      <c r="C8" s="180"/>
      <c r="D8" s="188"/>
      <c r="E8" s="180"/>
      <c r="F8" s="180"/>
      <c r="G8" s="180"/>
      <c r="H8" s="180"/>
      <c r="I8" s="180"/>
      <c r="J8" s="180"/>
      <c r="K8" s="180"/>
      <c r="L8" s="180"/>
      <c r="M8" s="180"/>
    </row>
    <row r="9" spans="2:13" ht="15.75">
      <c r="B9" s="189">
        <f>+D5/D13</f>
        <v>0.2074273017839319</v>
      </c>
      <c r="C9" s="180"/>
      <c r="D9" s="188"/>
      <c r="E9" s="180"/>
      <c r="F9" s="190"/>
      <c r="G9" s="180"/>
      <c r="H9" s="180"/>
      <c r="I9" s="180"/>
      <c r="J9" s="180"/>
      <c r="K9" s="180"/>
      <c r="L9" s="180"/>
      <c r="M9" s="180"/>
    </row>
    <row r="10" spans="2:13" ht="15">
      <c r="B10" s="180"/>
      <c r="C10" s="180"/>
      <c r="D10" s="188"/>
      <c r="E10" s="180"/>
      <c r="F10" s="180"/>
      <c r="G10" s="180"/>
      <c r="H10" s="180"/>
      <c r="I10" s="180"/>
      <c r="J10" s="191"/>
      <c r="K10" s="191"/>
      <c r="L10" s="180"/>
      <c r="M10" s="180"/>
    </row>
    <row r="11" spans="2:13" ht="15"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2:13" ht="15.75">
      <c r="B12" s="180"/>
      <c r="C12" s="180"/>
      <c r="D12" s="184" t="s">
        <v>59</v>
      </c>
      <c r="E12" s="180"/>
      <c r="F12" s="180" t="s">
        <v>60</v>
      </c>
      <c r="G12" s="185">
        <f>(Balance!H12+Balance!H14+Balance!H15-Balance!H22-Balance!H24)</f>
        <v>9028910</v>
      </c>
      <c r="H12" s="185"/>
      <c r="I12" s="180"/>
      <c r="J12" s="192"/>
      <c r="K12" s="193"/>
      <c r="L12" s="194"/>
      <c r="M12" s="180"/>
    </row>
    <row r="13" spans="2:13" ht="15.75">
      <c r="B13" s="180"/>
      <c r="C13" s="180"/>
      <c r="D13" s="195">
        <f>SUM(G12:G14)</f>
        <v>18850944</v>
      </c>
      <c r="E13" s="180"/>
      <c r="F13" s="180" t="s">
        <v>18</v>
      </c>
      <c r="G13" s="185">
        <f>+Balance!H18</f>
        <v>9394359</v>
      </c>
      <c r="H13" s="185"/>
      <c r="I13" s="180"/>
      <c r="J13" s="180"/>
      <c r="K13" s="180"/>
      <c r="L13" s="180"/>
      <c r="M13" s="180"/>
    </row>
    <row r="14" spans="2:13" ht="15">
      <c r="B14" s="180"/>
      <c r="C14" s="180"/>
      <c r="D14" s="180"/>
      <c r="E14" s="180"/>
      <c r="F14" s="180" t="s">
        <v>61</v>
      </c>
      <c r="G14" s="185">
        <f>+Balance!H16</f>
        <v>427675</v>
      </c>
      <c r="H14" s="185"/>
      <c r="I14" s="180"/>
      <c r="J14" s="180"/>
      <c r="K14" s="180"/>
      <c r="L14" s="180"/>
      <c r="M14" s="180"/>
    </row>
    <row r="15" spans="2:13" ht="15"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2:13" ht="15"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2:13" ht="15"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2:13" ht="15">
      <c r="B18" s="180"/>
      <c r="C18" s="180"/>
      <c r="D18" s="199" t="s">
        <v>81</v>
      </c>
      <c r="E18" s="180"/>
      <c r="F18" s="197"/>
      <c r="G18" s="180"/>
      <c r="H18" s="180"/>
      <c r="I18" s="180"/>
      <c r="J18" s="180"/>
      <c r="K18" s="180"/>
      <c r="L18" s="180"/>
      <c r="M18" s="180"/>
    </row>
    <row r="19" spans="2:13" ht="15">
      <c r="B19" s="180"/>
      <c r="C19" s="196"/>
      <c r="D19" s="172" t="s">
        <v>80</v>
      </c>
      <c r="E19" s="196"/>
      <c r="F19" s="196"/>
      <c r="G19" s="196"/>
      <c r="H19" s="196"/>
      <c r="I19" s="196"/>
      <c r="J19" s="196"/>
      <c r="K19" s="180"/>
      <c r="L19" s="180"/>
      <c r="M19" s="180"/>
    </row>
    <row r="20" spans="2:13" ht="15">
      <c r="B20" s="180"/>
      <c r="C20" s="196"/>
      <c r="D20" s="172" t="s">
        <v>82</v>
      </c>
      <c r="E20" s="196"/>
      <c r="F20" s="196"/>
      <c r="G20" s="196"/>
      <c r="H20" s="196"/>
      <c r="I20" s="196"/>
      <c r="J20" s="196"/>
      <c r="K20" s="180"/>
      <c r="L20" s="180"/>
      <c r="M20" s="180"/>
    </row>
    <row r="21" spans="3:10" ht="12.75">
      <c r="C21" s="5"/>
      <c r="D21" s="5"/>
      <c r="E21" s="5"/>
      <c r="F21" s="5"/>
      <c r="G21" s="5"/>
      <c r="H21" s="5"/>
      <c r="I21" s="5"/>
      <c r="J21" s="5"/>
    </row>
    <row r="22" spans="3:10" ht="12.75">
      <c r="C22" s="169"/>
      <c r="D22" s="170"/>
      <c r="E22" s="5"/>
      <c r="F22" s="5"/>
      <c r="G22" s="5"/>
      <c r="H22" s="5"/>
      <c r="I22" s="5"/>
      <c r="J22" s="5"/>
    </row>
    <row r="23" spans="3:10" ht="12.75">
      <c r="C23" s="171"/>
      <c r="D23" s="171"/>
      <c r="E23" s="5"/>
      <c r="F23" s="172"/>
      <c r="G23" s="5"/>
      <c r="H23" s="5"/>
      <c r="I23" s="5"/>
      <c r="J23" s="5"/>
    </row>
    <row r="24" spans="3:10" ht="12.75">
      <c r="C24" s="171"/>
      <c r="D24" s="173"/>
      <c r="E24" s="5"/>
      <c r="F24" s="174"/>
      <c r="G24" s="5"/>
      <c r="H24" s="5"/>
      <c r="I24" s="5"/>
      <c r="J24" s="5"/>
    </row>
    <row r="25" spans="3:10" ht="12.75">
      <c r="C25" s="171"/>
      <c r="D25" s="173"/>
      <c r="E25" s="5"/>
      <c r="F25" s="175"/>
      <c r="G25" s="5"/>
      <c r="H25" s="5"/>
      <c r="I25" s="5"/>
      <c r="J25" s="5"/>
    </row>
    <row r="26" spans="3:10" ht="12.75">
      <c r="C26" s="171"/>
      <c r="D26" s="173"/>
      <c r="E26" s="5"/>
      <c r="F26" s="176"/>
      <c r="G26" s="5"/>
      <c r="H26" s="5"/>
      <c r="I26" s="5"/>
      <c r="J26" s="5"/>
    </row>
    <row r="27" spans="3:10" ht="12.75">
      <c r="C27" s="171"/>
      <c r="D27" s="173"/>
      <c r="E27" s="5"/>
      <c r="F27" s="172"/>
      <c r="G27" s="5"/>
      <c r="H27" s="5"/>
      <c r="I27" s="5"/>
      <c r="J27" s="5"/>
    </row>
    <row r="28" spans="3:10" ht="12.75">
      <c r="C28" s="5"/>
      <c r="D28" s="5"/>
      <c r="E28" s="5"/>
      <c r="F28" s="172"/>
      <c r="G28" s="5"/>
      <c r="H28" s="5"/>
      <c r="I28" s="5"/>
      <c r="J28" s="5"/>
    </row>
    <row r="29" spans="3:10" ht="12.75">
      <c r="C29" s="5"/>
      <c r="D29" s="5"/>
      <c r="E29" s="5"/>
      <c r="F29" s="172"/>
      <c r="G29" s="5"/>
      <c r="H29" s="5"/>
      <c r="I29" s="177"/>
      <c r="J29" s="5"/>
    </row>
    <row r="30" spans="3:10" ht="12.75">
      <c r="C30" s="5"/>
      <c r="D30" s="5"/>
      <c r="E30" s="5"/>
      <c r="F30" s="172"/>
      <c r="G30" s="5"/>
      <c r="H30" s="5"/>
      <c r="I30" s="178"/>
      <c r="J30" s="5"/>
    </row>
    <row r="31" spans="3:10" ht="12.75">
      <c r="C31" s="5"/>
      <c r="D31" s="5"/>
      <c r="E31" s="5"/>
      <c r="F31" s="172"/>
      <c r="G31" s="5"/>
      <c r="H31" s="5"/>
      <c r="I31" s="5"/>
      <c r="J31" s="5"/>
    </row>
    <row r="32" spans="3:10" ht="12.75">
      <c r="C32" s="171"/>
      <c r="D32" s="173"/>
      <c r="E32" s="5"/>
      <c r="F32" s="172"/>
      <c r="G32" s="5"/>
      <c r="H32" s="5"/>
      <c r="I32" s="5"/>
      <c r="J32" s="5"/>
    </row>
    <row r="33" spans="3:10" ht="12.75">
      <c r="C33" s="171"/>
      <c r="D33" s="173"/>
      <c r="E33" s="5"/>
      <c r="F33" s="172"/>
      <c r="G33" s="5"/>
      <c r="H33" s="5"/>
      <c r="I33" s="5"/>
      <c r="J33" s="5"/>
    </row>
    <row r="34" spans="3:10" ht="12.75">
      <c r="C34" s="171"/>
      <c r="D34" s="173"/>
      <c r="E34" s="5"/>
      <c r="F34" s="174"/>
      <c r="G34" s="5"/>
      <c r="H34" s="5"/>
      <c r="I34" s="5"/>
      <c r="J34" s="5"/>
    </row>
    <row r="35" spans="3:10" ht="12.75">
      <c r="C35" s="5"/>
      <c r="D35" s="5"/>
      <c r="E35" s="5"/>
      <c r="F35" s="179"/>
      <c r="G35" s="5"/>
      <c r="H35" s="5"/>
      <c r="I35" s="5"/>
      <c r="J35" s="5"/>
    </row>
    <row r="36" spans="3:10" ht="12.75">
      <c r="C36" s="5"/>
      <c r="D36" s="5"/>
      <c r="E36" s="5"/>
      <c r="F36" s="172"/>
      <c r="G36" s="5"/>
      <c r="H36" s="5"/>
      <c r="I36" s="5"/>
      <c r="J36" s="5"/>
    </row>
    <row r="37" spans="3:10" ht="12.75">
      <c r="C37" s="5"/>
      <c r="D37" s="5"/>
      <c r="E37" s="5"/>
      <c r="F37" s="172"/>
      <c r="G37" s="5"/>
      <c r="H37" s="5"/>
      <c r="I37" s="5"/>
      <c r="J37" s="5"/>
    </row>
    <row r="38" spans="3:10" ht="12.75">
      <c r="C38" s="5"/>
      <c r="D38" s="5"/>
      <c r="E38" s="5"/>
      <c r="F38" s="172"/>
      <c r="G38" s="5"/>
      <c r="H38" s="5"/>
      <c r="I38" s="5"/>
      <c r="J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3:10" ht="12.75">
      <c r="C44" s="5"/>
      <c r="D44" s="5"/>
      <c r="E44" s="5"/>
      <c r="F44" s="5"/>
      <c r="G44" s="5"/>
      <c r="H44" s="5"/>
      <c r="I44" s="5"/>
      <c r="J44" s="5"/>
    </row>
  </sheetData>
  <printOptions/>
  <pageMargins left="0.75" right="0.75" top="1" bottom="1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ECO </dc:title>
  <dc:subject>Optimal Capital Structure and Forecasting Analysis</dc:subject>
  <dc:creator>Dr. Guillermo López Dumrauf</dc:creator>
  <cp:keywords>ECO</cp:keywords>
  <dc:description>El modelo ECO fue preparado esencialmente para determinar la Estructura de Capital Optima. También puede emplearse para la Valuación de empresas, proyectos de inversión o simplemente proyecciones financieras que puedan utilizarse en un business plan.</dc:description>
  <cp:lastModifiedBy>Guillermo Dumrauf</cp:lastModifiedBy>
  <cp:lastPrinted>2002-08-12T22:39:17Z</cp:lastPrinted>
  <dcterms:created xsi:type="dcterms:W3CDTF">1999-03-26T00:08:19Z</dcterms:created>
  <dcterms:modified xsi:type="dcterms:W3CDTF">2010-04-21T18:10:36Z</dcterms:modified>
  <cp:category/>
  <cp:version/>
  <cp:contentType/>
  <cp:contentStatus/>
</cp:coreProperties>
</file>