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550" windowHeight="5595"/>
  </bookViews>
  <sheets>
    <sheet name="Hoja1" sheetId="1" r:id="rId1"/>
  </sheets>
  <calcPr calcId="114210" iterate="1" iterateDelta="0"/>
</workbook>
</file>

<file path=xl/calcChain.xml><?xml version="1.0" encoding="utf-8"?>
<calcChain xmlns="http://schemas.openxmlformats.org/spreadsheetml/2006/main">
  <c r="B11" i="1"/>
  <c r="B10"/>
  <c r="B8"/>
  <c r="D67"/>
  <c r="E67"/>
  <c r="F67"/>
  <c r="G67"/>
  <c r="H67"/>
  <c r="I67"/>
  <c r="J67"/>
  <c r="K67"/>
  <c r="L67"/>
  <c r="C67"/>
  <c r="D66"/>
  <c r="E66"/>
  <c r="F66"/>
  <c r="G66"/>
  <c r="H66"/>
  <c r="I66"/>
  <c r="J66"/>
  <c r="K66"/>
  <c r="L66"/>
  <c r="C66"/>
  <c r="L10"/>
  <c r="E18"/>
  <c r="F18"/>
  <c r="G18"/>
  <c r="H18"/>
  <c r="I18"/>
  <c r="J18"/>
  <c r="K18"/>
  <c r="L18"/>
  <c r="G4"/>
  <c r="H4"/>
  <c r="I4"/>
  <c r="J4"/>
  <c r="K4"/>
  <c r="L4"/>
  <c r="F4"/>
  <c r="K10"/>
  <c r="E56"/>
  <c r="F56"/>
  <c r="G56"/>
  <c r="H56"/>
  <c r="I56"/>
  <c r="J56"/>
  <c r="K56"/>
  <c r="L56"/>
  <c r="E10"/>
  <c r="F10"/>
  <c r="G10"/>
  <c r="H10"/>
  <c r="I10"/>
  <c r="J10"/>
  <c r="E47"/>
  <c r="F47"/>
  <c r="G47"/>
  <c r="H47"/>
  <c r="I47"/>
  <c r="J47"/>
  <c r="K47"/>
  <c r="L47"/>
  <c r="C34"/>
  <c r="D34"/>
  <c r="E34"/>
  <c r="F34"/>
  <c r="G34"/>
  <c r="H34"/>
  <c r="I34"/>
  <c r="J34"/>
  <c r="K34"/>
  <c r="L34"/>
  <c r="B52"/>
  <c r="D10"/>
  <c r="C10"/>
  <c r="C5"/>
  <c r="C21"/>
  <c r="D46"/>
  <c r="E46"/>
  <c r="F46"/>
  <c r="G46"/>
  <c r="H46"/>
  <c r="I46"/>
  <c r="J46"/>
  <c r="K46"/>
  <c r="L46"/>
  <c r="C46"/>
  <c r="B46"/>
  <c r="C8"/>
  <c r="D8"/>
  <c r="E8"/>
  <c r="F8"/>
  <c r="G8"/>
  <c r="H8"/>
  <c r="I8"/>
  <c r="J8"/>
  <c r="K8"/>
  <c r="L8"/>
  <c r="B7"/>
  <c r="B47"/>
  <c r="C6"/>
  <c r="C22"/>
  <c r="C55"/>
  <c r="C29"/>
  <c r="B9"/>
  <c r="C7"/>
  <c r="C9"/>
  <c r="C11"/>
  <c r="D5"/>
  <c r="D6"/>
  <c r="D22"/>
  <c r="D55"/>
  <c r="D29"/>
  <c r="D7"/>
  <c r="D9"/>
  <c r="D11"/>
  <c r="E5"/>
  <c r="D21"/>
  <c r="E21"/>
  <c r="F5"/>
  <c r="E6"/>
  <c r="E22"/>
  <c r="E55"/>
  <c r="E29"/>
  <c r="E7"/>
  <c r="E9"/>
  <c r="E11"/>
  <c r="F6"/>
  <c r="F22"/>
  <c r="F55"/>
  <c r="F29"/>
  <c r="G5"/>
  <c r="F21"/>
  <c r="F7"/>
  <c r="F9"/>
  <c r="F11"/>
  <c r="G21"/>
  <c r="H5"/>
  <c r="G6"/>
  <c r="G22"/>
  <c r="G55"/>
  <c r="G29"/>
  <c r="G7"/>
  <c r="G9"/>
  <c r="G11"/>
  <c r="H21"/>
  <c r="H6"/>
  <c r="H22"/>
  <c r="H55"/>
  <c r="H29"/>
  <c r="I5"/>
  <c r="I21"/>
  <c r="I6"/>
  <c r="I22"/>
  <c r="I55"/>
  <c r="I29"/>
  <c r="J5"/>
  <c r="H7"/>
  <c r="H9"/>
  <c r="H11"/>
  <c r="K5"/>
  <c r="J7"/>
  <c r="J9"/>
  <c r="J11"/>
  <c r="J21"/>
  <c r="J6"/>
  <c r="J22"/>
  <c r="J55"/>
  <c r="J29"/>
  <c r="I7"/>
  <c r="I9"/>
  <c r="I11"/>
  <c r="K21"/>
  <c r="K7"/>
  <c r="K9"/>
  <c r="K11"/>
  <c r="L5"/>
  <c r="K6"/>
  <c r="K22"/>
  <c r="K55"/>
  <c r="K29"/>
  <c r="L6"/>
  <c r="L22"/>
  <c r="L55"/>
  <c r="L29"/>
  <c r="L7"/>
  <c r="L9"/>
  <c r="L11"/>
  <c r="L21"/>
  <c r="B12"/>
  <c r="C12"/>
  <c r="D12"/>
  <c r="E12"/>
  <c r="F12"/>
  <c r="G12"/>
  <c r="H12"/>
  <c r="I12"/>
  <c r="J12"/>
  <c r="K12"/>
  <c r="L12"/>
  <c r="B13"/>
  <c r="C13"/>
  <c r="D13"/>
  <c r="E13"/>
  <c r="F13"/>
  <c r="G13"/>
  <c r="H13"/>
  <c r="I13"/>
  <c r="J13"/>
  <c r="K13"/>
  <c r="L13"/>
  <c r="B14"/>
  <c r="C14"/>
  <c r="D14"/>
  <c r="E14"/>
  <c r="F14"/>
  <c r="G14"/>
  <c r="H14"/>
  <c r="I14"/>
  <c r="J14"/>
  <c r="K14"/>
  <c r="L14"/>
  <c r="B15"/>
  <c r="C15"/>
  <c r="D15"/>
  <c r="E15"/>
  <c r="F15"/>
  <c r="G15"/>
  <c r="H15"/>
  <c r="I15"/>
  <c r="J15"/>
  <c r="K15"/>
  <c r="L15"/>
  <c r="B20"/>
  <c r="C20"/>
  <c r="D20"/>
  <c r="E20"/>
  <c r="F20"/>
  <c r="G20"/>
  <c r="H20"/>
  <c r="I20"/>
  <c r="J20"/>
  <c r="K20"/>
  <c r="L20"/>
  <c r="B23"/>
  <c r="C23"/>
  <c r="D23"/>
  <c r="E23"/>
  <c r="F23"/>
  <c r="G23"/>
  <c r="H23"/>
  <c r="I23"/>
  <c r="J23"/>
  <c r="K23"/>
  <c r="L23"/>
  <c r="B27"/>
  <c r="C27"/>
  <c r="D27"/>
  <c r="E27"/>
  <c r="F27"/>
  <c r="G27"/>
  <c r="H27"/>
  <c r="I27"/>
  <c r="J27"/>
  <c r="K27"/>
  <c r="L27"/>
  <c r="C30"/>
  <c r="D30"/>
  <c r="E30"/>
  <c r="F30"/>
  <c r="G30"/>
  <c r="H30"/>
  <c r="I30"/>
  <c r="J30"/>
  <c r="K30"/>
  <c r="L30"/>
  <c r="B31"/>
  <c r="C31"/>
  <c r="D31"/>
  <c r="E31"/>
  <c r="F31"/>
  <c r="G31"/>
  <c r="H31"/>
  <c r="I31"/>
  <c r="J31"/>
  <c r="K31"/>
  <c r="L31"/>
  <c r="B32"/>
  <c r="C32"/>
  <c r="D32"/>
  <c r="E32"/>
  <c r="F32"/>
  <c r="G32"/>
  <c r="H32"/>
  <c r="I32"/>
  <c r="J32"/>
  <c r="K32"/>
  <c r="L32"/>
  <c r="C36"/>
  <c r="D36"/>
  <c r="E36"/>
  <c r="F36"/>
  <c r="G36"/>
  <c r="H36"/>
  <c r="I36"/>
  <c r="J36"/>
  <c r="K36"/>
  <c r="L36"/>
  <c r="B37"/>
  <c r="C37"/>
  <c r="D37"/>
  <c r="E37"/>
  <c r="F37"/>
  <c r="G37"/>
  <c r="H37"/>
  <c r="I37"/>
  <c r="J37"/>
  <c r="K37"/>
  <c r="L37"/>
  <c r="B39"/>
  <c r="C39"/>
  <c r="D39"/>
  <c r="E39"/>
  <c r="F39"/>
  <c r="G39"/>
  <c r="H39"/>
  <c r="I39"/>
  <c r="J39"/>
  <c r="K39"/>
  <c r="L39"/>
  <c r="B40"/>
  <c r="C40"/>
  <c r="D40"/>
  <c r="E40"/>
  <c r="F40"/>
  <c r="G40"/>
  <c r="H40"/>
  <c r="I40"/>
  <c r="J40"/>
  <c r="K40"/>
  <c r="L40"/>
  <c r="B58"/>
  <c r="C58"/>
  <c r="D58"/>
  <c r="E58"/>
  <c r="F58"/>
  <c r="G58"/>
  <c r="H58"/>
  <c r="I58"/>
  <c r="J58"/>
  <c r="K58"/>
  <c r="L58"/>
  <c r="B59"/>
  <c r="C59"/>
  <c r="D59"/>
  <c r="E59"/>
  <c r="F59"/>
  <c r="G59"/>
  <c r="H59"/>
  <c r="I59"/>
  <c r="J59"/>
  <c r="K59"/>
  <c r="L59"/>
  <c r="B60"/>
  <c r="C60"/>
  <c r="D60"/>
  <c r="E60"/>
  <c r="F60"/>
  <c r="G60"/>
  <c r="H60"/>
  <c r="I60"/>
  <c r="J60"/>
  <c r="K60"/>
  <c r="L60"/>
  <c r="C65"/>
  <c r="D65"/>
  <c r="E65"/>
  <c r="F65"/>
  <c r="G65"/>
  <c r="H65"/>
  <c r="I65"/>
  <c r="J65"/>
  <c r="K65"/>
  <c r="L65"/>
  <c r="C68"/>
  <c r="D68"/>
  <c r="E68"/>
  <c r="F68"/>
  <c r="G68"/>
  <c r="H68"/>
  <c r="I68"/>
  <c r="J68"/>
  <c r="K68"/>
  <c r="L68"/>
  <c r="C69"/>
  <c r="D69"/>
  <c r="E69"/>
  <c r="F69"/>
  <c r="G69"/>
  <c r="H69"/>
  <c r="I69"/>
  <c r="J69"/>
  <c r="K69"/>
  <c r="L69"/>
  <c r="C71"/>
  <c r="D71"/>
  <c r="E71"/>
  <c r="F71"/>
  <c r="G71"/>
  <c r="H71"/>
  <c r="I71"/>
  <c r="J71"/>
  <c r="K71"/>
  <c r="L71"/>
  <c r="M71"/>
  <c r="B73"/>
</calcChain>
</file>

<file path=xl/sharedStrings.xml><?xml version="1.0" encoding="utf-8"?>
<sst xmlns="http://schemas.openxmlformats.org/spreadsheetml/2006/main" count="57" uniqueCount="51">
  <si>
    <t>Estado de resultados</t>
  </si>
  <si>
    <t>Ventas</t>
  </si>
  <si>
    <t>Costo de ventas</t>
  </si>
  <si>
    <t>Margen Bruto</t>
  </si>
  <si>
    <t>Gastos de Administración y Ventas</t>
  </si>
  <si>
    <t>EBITDA</t>
  </si>
  <si>
    <t>Amortización</t>
  </si>
  <si>
    <t>EBIT</t>
  </si>
  <si>
    <t>Intereses</t>
  </si>
  <si>
    <t>EBT</t>
  </si>
  <si>
    <t>Impuestos</t>
  </si>
  <si>
    <t>Utilidad Neta</t>
  </si>
  <si>
    <t>Histórico</t>
  </si>
  <si>
    <t>Balance General</t>
  </si>
  <si>
    <t>Caja</t>
  </si>
  <si>
    <t>Clientes</t>
  </si>
  <si>
    <t>Inventarios</t>
  </si>
  <si>
    <t xml:space="preserve">   Activo Circulante</t>
  </si>
  <si>
    <t>Activo Fijo Neto</t>
  </si>
  <si>
    <t>TOTAL ACTIVO</t>
  </si>
  <si>
    <t>Proveedores</t>
  </si>
  <si>
    <t>Impuestos a pagar</t>
  </si>
  <si>
    <t>Crédito Bancario</t>
  </si>
  <si>
    <t xml:space="preserve">   Pasivo Circulante</t>
  </si>
  <si>
    <t>Préstamo Bancario</t>
  </si>
  <si>
    <t>Recursos propios</t>
  </si>
  <si>
    <t>Utilidad del ejercicio</t>
  </si>
  <si>
    <t>TOTAL PASIVO Y CAPITAL</t>
  </si>
  <si>
    <t>PREMISAS</t>
  </si>
  <si>
    <t>Crecimiento Ventas</t>
  </si>
  <si>
    <t>Costo de Ventas</t>
  </si>
  <si>
    <t>Margen</t>
  </si>
  <si>
    <t>Impuestos 30%</t>
  </si>
  <si>
    <t>Dias Clientes</t>
  </si>
  <si>
    <t>Dias Inventarios</t>
  </si>
  <si>
    <t>Dias Proveedores</t>
  </si>
  <si>
    <t>Compras</t>
  </si>
  <si>
    <t>Nueva Inversion Bruta</t>
  </si>
  <si>
    <t>NOF</t>
  </si>
  <si>
    <t>Pago a préstamo bancario</t>
  </si>
  <si>
    <t>Proyecciones</t>
  </si>
  <si>
    <t>Fondo de Maniobra</t>
  </si>
  <si>
    <t>Caja Excedente (+) o Crédito Necesario (-)</t>
  </si>
  <si>
    <t xml:space="preserve"> E COMPUTERL@ND, S.A. de C.V.</t>
  </si>
  <si>
    <t>FREE CASH FLOW</t>
  </si>
  <si>
    <t xml:space="preserve"> + Depreciación</t>
  </si>
  <si>
    <t xml:space="preserve"> - Inversión Activo Fijo</t>
  </si>
  <si>
    <t xml:space="preserve"> - NOF</t>
  </si>
  <si>
    <t xml:space="preserve"> + Intereses (1- T)</t>
  </si>
  <si>
    <t>Valor de la Empresa</t>
  </si>
  <si>
    <t>WACC</t>
  </si>
</sst>
</file>

<file path=xl/styles.xml><?xml version="1.0" encoding="utf-8"?>
<styleSheet xmlns="http://schemas.openxmlformats.org/spreadsheetml/2006/main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$&quot;* #,##0_-;\-&quot;$&quot;* #,##0_-;_-&quot;$&quot;* &quot;-&quot;??_-;_-@_-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65" fontId="0" fillId="0" borderId="0" xfId="3" applyFont="1"/>
    <xf numFmtId="9" fontId="0" fillId="0" borderId="0" xfId="0" applyNumberFormat="1"/>
    <xf numFmtId="9" fontId="0" fillId="0" borderId="0" xfId="4" applyFont="1"/>
    <xf numFmtId="167" fontId="0" fillId="0" borderId="0" xfId="3" applyNumberFormat="1" applyFont="1" applyAlignment="1">
      <alignment horizontal="left" indent="2"/>
    </xf>
    <xf numFmtId="167" fontId="0" fillId="0" borderId="0" xfId="0" applyNumberFormat="1" applyAlignment="1">
      <alignment horizontal="left" indent="2"/>
    </xf>
    <xf numFmtId="167" fontId="0" fillId="0" borderId="0" xfId="0" applyNumberFormat="1"/>
    <xf numFmtId="166" fontId="0" fillId="0" borderId="0" xfId="0" applyNumberFormat="1"/>
    <xf numFmtId="166" fontId="0" fillId="0" borderId="0" xfId="2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67" fontId="5" fillId="2" borderId="0" xfId="3" applyNumberFormat="1" applyFont="1" applyFill="1" applyAlignment="1">
      <alignment horizontal="left" indent="2"/>
    </xf>
    <xf numFmtId="0" fontId="4" fillId="2" borderId="0" xfId="0" applyFont="1" applyFill="1" applyAlignment="1">
      <alignment horizontal="center"/>
    </xf>
    <xf numFmtId="167" fontId="4" fillId="2" borderId="0" xfId="3" applyNumberFormat="1" applyFont="1" applyFill="1" applyAlignment="1">
      <alignment horizontal="left" indent="2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167" fontId="5" fillId="2" borderId="0" xfId="0" applyNumberFormat="1" applyFont="1" applyFill="1" applyAlignment="1">
      <alignment horizontal="center" vertical="center"/>
    </xf>
    <xf numFmtId="0" fontId="7" fillId="0" borderId="0" xfId="1" applyFont="1" applyAlignment="1" applyProtection="1"/>
    <xf numFmtId="0" fontId="4" fillId="0" borderId="1" xfId="0" applyFont="1" applyFill="1" applyBorder="1" applyAlignment="1">
      <alignment horizontal="center"/>
    </xf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computerl@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workbookViewId="0">
      <selection activeCell="A3" sqref="A3"/>
    </sheetView>
  </sheetViews>
  <sheetFormatPr defaultColWidth="11.42578125" defaultRowHeight="12.75"/>
  <cols>
    <col min="1" max="1" width="30.85546875" bestFit="1" customWidth="1"/>
    <col min="2" max="2" width="12.140625" bestFit="1" customWidth="1"/>
    <col min="3" max="4" width="14.7109375" bestFit="1" customWidth="1"/>
    <col min="5" max="10" width="12.5703125" bestFit="1" customWidth="1"/>
    <col min="11" max="11" width="13.140625" customWidth="1"/>
    <col min="12" max="12" width="13.5703125" bestFit="1" customWidth="1"/>
    <col min="13" max="13" width="12.85546875" bestFit="1" customWidth="1"/>
  </cols>
  <sheetData>
    <row r="1" spans="1:12" ht="15.75">
      <c r="A1" s="19" t="s">
        <v>43</v>
      </c>
    </row>
    <row r="3" spans="1:12">
      <c r="A3" s="10" t="s">
        <v>0</v>
      </c>
      <c r="B3" s="11" t="s">
        <v>12</v>
      </c>
      <c r="C3" s="24" t="s">
        <v>40</v>
      </c>
      <c r="D3" s="24"/>
    </row>
    <row r="4" spans="1:12">
      <c r="B4" s="11">
        <v>2002</v>
      </c>
      <c r="C4" s="11">
        <v>2003</v>
      </c>
      <c r="D4" s="11">
        <v>2004</v>
      </c>
      <c r="E4" s="20">
        <v>2005</v>
      </c>
      <c r="F4" s="20">
        <f>+E4+1</f>
        <v>2006</v>
      </c>
      <c r="G4" s="20">
        <f t="shared" ref="G4:L4" si="0">+F4+1</f>
        <v>2007</v>
      </c>
      <c r="H4" s="20">
        <f t="shared" si="0"/>
        <v>2008</v>
      </c>
      <c r="I4" s="20">
        <f t="shared" si="0"/>
        <v>2009</v>
      </c>
      <c r="J4" s="20">
        <f t="shared" si="0"/>
        <v>2010</v>
      </c>
      <c r="K4" s="20">
        <f t="shared" si="0"/>
        <v>2011</v>
      </c>
      <c r="L4" s="20">
        <f t="shared" si="0"/>
        <v>2012</v>
      </c>
    </row>
    <row r="5" spans="1:12">
      <c r="A5" s="1" t="s">
        <v>1</v>
      </c>
      <c r="B5" s="5">
        <v>30000</v>
      </c>
      <c r="C5" s="5">
        <f>+B5*(1+C45)</f>
        <v>36000</v>
      </c>
      <c r="D5" s="5">
        <f>+C5*(1+D45)</f>
        <v>39600</v>
      </c>
      <c r="E5" s="5">
        <f t="shared" ref="E5:J5" si="1">+D5*(1+E45)</f>
        <v>41580</v>
      </c>
      <c r="F5" s="5">
        <f t="shared" si="1"/>
        <v>43659</v>
      </c>
      <c r="G5" s="5">
        <f t="shared" si="1"/>
        <v>45841.950000000004</v>
      </c>
      <c r="H5" s="5">
        <f t="shared" si="1"/>
        <v>48134.047500000008</v>
      </c>
      <c r="I5" s="5">
        <f t="shared" si="1"/>
        <v>50540.749875000009</v>
      </c>
      <c r="J5" s="5">
        <f t="shared" si="1"/>
        <v>53067.787368750011</v>
      </c>
      <c r="K5" s="5">
        <f>+J5*(1+K45)</f>
        <v>55721.17673718751</v>
      </c>
      <c r="L5" s="5">
        <f>+K5*(1+L45)</f>
        <v>58507.235574046885</v>
      </c>
    </row>
    <row r="6" spans="1:12">
      <c r="A6" s="1" t="s">
        <v>2</v>
      </c>
      <c r="B6" s="5">
        <v>24600</v>
      </c>
      <c r="C6" s="5">
        <f>+C5*C46</f>
        <v>29880</v>
      </c>
      <c r="D6" s="5">
        <f>+D5*D46</f>
        <v>33264</v>
      </c>
      <c r="E6" s="5">
        <f t="shared" ref="E6:L6" si="2">+E5*E46</f>
        <v>34927.199999999997</v>
      </c>
      <c r="F6" s="5">
        <f t="shared" si="2"/>
        <v>36673.56</v>
      </c>
      <c r="G6" s="5">
        <f t="shared" si="2"/>
        <v>38507.238000000005</v>
      </c>
      <c r="H6" s="5">
        <f t="shared" si="2"/>
        <v>40432.599900000008</v>
      </c>
      <c r="I6" s="5">
        <f t="shared" si="2"/>
        <v>42454.229895000004</v>
      </c>
      <c r="J6" s="5">
        <f t="shared" si="2"/>
        <v>44576.941389750005</v>
      </c>
      <c r="K6" s="5">
        <f t="shared" si="2"/>
        <v>46805.788459237505</v>
      </c>
      <c r="L6" s="5">
        <f t="shared" si="2"/>
        <v>49146.077882199381</v>
      </c>
    </row>
    <row r="7" spans="1:12">
      <c r="A7" s="12" t="s">
        <v>3</v>
      </c>
      <c r="B7" s="13">
        <f>+B5-B6</f>
        <v>5400</v>
      </c>
      <c r="C7" s="13">
        <f>+C5-C6</f>
        <v>6120</v>
      </c>
      <c r="D7" s="13">
        <f>+D5-D6</f>
        <v>6336</v>
      </c>
      <c r="E7" s="13">
        <f t="shared" ref="E7:L7" si="3">+E5-E6</f>
        <v>6652.8000000000029</v>
      </c>
      <c r="F7" s="13">
        <f t="shared" si="3"/>
        <v>6985.4400000000023</v>
      </c>
      <c r="G7" s="13">
        <f t="shared" si="3"/>
        <v>7334.7119999999995</v>
      </c>
      <c r="H7" s="13">
        <f t="shared" si="3"/>
        <v>7701.4475999999995</v>
      </c>
      <c r="I7" s="13">
        <f t="shared" si="3"/>
        <v>8086.5199800000046</v>
      </c>
      <c r="J7" s="13">
        <f t="shared" si="3"/>
        <v>8490.8459790000052</v>
      </c>
      <c r="K7" s="13">
        <f t="shared" si="3"/>
        <v>8915.3882779500054</v>
      </c>
      <c r="L7" s="13">
        <f t="shared" si="3"/>
        <v>9361.1576918475039</v>
      </c>
    </row>
    <row r="8" spans="1:12">
      <c r="A8" s="1" t="s">
        <v>4</v>
      </c>
      <c r="B8" s="5">
        <f>1800+470</f>
        <v>2270</v>
      </c>
      <c r="C8" s="5">
        <f>+B8*(1+C45)</f>
        <v>2724</v>
      </c>
      <c r="D8" s="5">
        <f>+C8*(1+D45)</f>
        <v>2996.4</v>
      </c>
      <c r="E8" s="5">
        <f t="shared" ref="E8:J8" si="4">+D8*(1+E45)</f>
        <v>3146.2200000000003</v>
      </c>
      <c r="F8" s="5">
        <f t="shared" si="4"/>
        <v>3303.5310000000004</v>
      </c>
      <c r="G8" s="5">
        <f t="shared" si="4"/>
        <v>3468.7075500000005</v>
      </c>
      <c r="H8" s="5">
        <f t="shared" si="4"/>
        <v>3642.1429275000005</v>
      </c>
      <c r="I8" s="5">
        <f t="shared" si="4"/>
        <v>3824.2500738750009</v>
      </c>
      <c r="J8" s="5">
        <f t="shared" si="4"/>
        <v>4015.4625775687509</v>
      </c>
      <c r="K8" s="5">
        <f>+J8*(1+K45)</f>
        <v>4216.2357064471889</v>
      </c>
      <c r="L8" s="5">
        <f>+K8*(1+L45)</f>
        <v>4427.0474917695483</v>
      </c>
    </row>
    <row r="9" spans="1:12">
      <c r="A9" s="12" t="s">
        <v>5</v>
      </c>
      <c r="B9" s="13">
        <f>+B7-B8</f>
        <v>3130</v>
      </c>
      <c r="C9" s="13">
        <f>+C7-C8</f>
        <v>3396</v>
      </c>
      <c r="D9" s="13">
        <f>+D7-D8</f>
        <v>3339.6</v>
      </c>
      <c r="E9" s="13">
        <f t="shared" ref="E9:L9" si="5">+E7-E8</f>
        <v>3506.5800000000027</v>
      </c>
      <c r="F9" s="13">
        <f t="shared" si="5"/>
        <v>3681.9090000000019</v>
      </c>
      <c r="G9" s="13">
        <f t="shared" si="5"/>
        <v>3866.004449999999</v>
      </c>
      <c r="H9" s="13">
        <f t="shared" si="5"/>
        <v>4059.304672499999</v>
      </c>
      <c r="I9" s="13">
        <f t="shared" si="5"/>
        <v>4262.2699061250041</v>
      </c>
      <c r="J9" s="13">
        <f t="shared" si="5"/>
        <v>4475.3834014312542</v>
      </c>
      <c r="K9" s="13">
        <f t="shared" si="5"/>
        <v>4699.1525715028165</v>
      </c>
      <c r="L9" s="13">
        <f t="shared" si="5"/>
        <v>4934.1102000779556</v>
      </c>
    </row>
    <row r="10" spans="1:12">
      <c r="A10" s="1" t="s">
        <v>6</v>
      </c>
      <c r="B10" s="5">
        <f>+B25*0.1</f>
        <v>600</v>
      </c>
      <c r="C10" s="5">
        <f>+C25*C50</f>
        <v>600</v>
      </c>
      <c r="D10" s="5">
        <f>+D25*D50</f>
        <v>600</v>
      </c>
      <c r="E10" s="5">
        <f t="shared" ref="E10:J10" si="6">+E25*E50</f>
        <v>600.1</v>
      </c>
      <c r="F10" s="5">
        <f t="shared" si="6"/>
        <v>600.20000000000005</v>
      </c>
      <c r="G10" s="5">
        <f t="shared" si="6"/>
        <v>600.30000000000007</v>
      </c>
      <c r="H10" s="5">
        <f t="shared" si="6"/>
        <v>600.4</v>
      </c>
      <c r="I10" s="5">
        <f t="shared" si="6"/>
        <v>600.5</v>
      </c>
      <c r="J10" s="5">
        <f t="shared" si="6"/>
        <v>600.6</v>
      </c>
      <c r="K10" s="5">
        <f>+K25*K50</f>
        <v>600.70000000000005</v>
      </c>
      <c r="L10" s="5">
        <f>+L25*L50</f>
        <v>600.80000000000007</v>
      </c>
    </row>
    <row r="11" spans="1:12">
      <c r="A11" s="12" t="s">
        <v>7</v>
      </c>
      <c r="B11" s="13">
        <f>+B9-B10</f>
        <v>2530</v>
      </c>
      <c r="C11" s="13">
        <f>+C9-C10</f>
        <v>2796</v>
      </c>
      <c r="D11" s="13">
        <f>+D9-D10</f>
        <v>2739.6</v>
      </c>
      <c r="E11" s="13">
        <f t="shared" ref="E11:L11" si="7">+E9-E10</f>
        <v>2906.4800000000027</v>
      </c>
      <c r="F11" s="13">
        <f t="shared" si="7"/>
        <v>3081.7090000000017</v>
      </c>
      <c r="G11" s="13">
        <f t="shared" si="7"/>
        <v>3265.7044499999988</v>
      </c>
      <c r="H11" s="13">
        <f t="shared" si="7"/>
        <v>3458.9046724999989</v>
      </c>
      <c r="I11" s="13">
        <f t="shared" si="7"/>
        <v>3661.7699061250041</v>
      </c>
      <c r="J11" s="13">
        <f t="shared" si="7"/>
        <v>3874.7834014312543</v>
      </c>
      <c r="K11" s="13">
        <f t="shared" si="7"/>
        <v>4098.4525715028167</v>
      </c>
      <c r="L11" s="13">
        <f t="shared" si="7"/>
        <v>4333.3102000779554</v>
      </c>
    </row>
    <row r="12" spans="1:12">
      <c r="A12" s="1" t="s">
        <v>8</v>
      </c>
      <c r="B12" s="5">
        <f ca="1">+(B31+B34)*0.1</f>
        <v>536.23655913978496</v>
      </c>
      <c r="C12" s="5">
        <f ca="1">+C48*(C31+C34)</f>
        <v>591.99432497013152</v>
      </c>
      <c r="D12" s="5">
        <f ca="1">+D48*(D31+D34)</f>
        <v>517.36610580114154</v>
      </c>
      <c r="E12" s="5">
        <f t="shared" ref="E12:J12" ca="1" si="8">+E48*(E31+E34)</f>
        <v>376.84643254863772</v>
      </c>
      <c r="F12" s="5">
        <f t="shared" ca="1" si="8"/>
        <v>213.05559952464247</v>
      </c>
      <c r="G12" s="5">
        <f t="shared" ca="1" si="8"/>
        <v>24.538368376559266</v>
      </c>
      <c r="H12" s="5">
        <f t="shared" ca="1" si="8"/>
        <v>0</v>
      </c>
      <c r="I12" s="5">
        <f t="shared" ca="1" si="8"/>
        <v>0</v>
      </c>
      <c r="J12" s="5">
        <f t="shared" ca="1" si="8"/>
        <v>0</v>
      </c>
      <c r="K12" s="5">
        <f ca="1">+K48*(K31+K34)</f>
        <v>0</v>
      </c>
      <c r="L12" s="5">
        <f ca="1">+L48*(L31+L34)</f>
        <v>3.6379788070917132E-13</v>
      </c>
    </row>
    <row r="13" spans="1:12">
      <c r="A13" s="12" t="s">
        <v>9</v>
      </c>
      <c r="B13" s="13">
        <f ca="1">+B11-B12</f>
        <v>1993.763440860215</v>
      </c>
      <c r="C13" s="13">
        <f ca="1">+C11-C12</f>
        <v>2204.0056750298686</v>
      </c>
      <c r="D13" s="13">
        <f ca="1">+D11-D12</f>
        <v>2222.2338941988583</v>
      </c>
      <c r="E13" s="13">
        <f t="shared" ref="E13:L13" ca="1" si="9">+E11-E12</f>
        <v>2529.6335674513648</v>
      </c>
      <c r="F13" s="13">
        <f t="shared" ca="1" si="9"/>
        <v>2868.6534004753594</v>
      </c>
      <c r="G13" s="13">
        <f t="shared" ca="1" si="9"/>
        <v>3241.1660816234394</v>
      </c>
      <c r="H13" s="13">
        <f t="shared" ca="1" si="9"/>
        <v>3458.9046724999989</v>
      </c>
      <c r="I13" s="13">
        <f t="shared" ca="1" si="9"/>
        <v>3661.7699061250041</v>
      </c>
      <c r="J13" s="13">
        <f t="shared" ca="1" si="9"/>
        <v>3874.7834014312543</v>
      </c>
      <c r="K13" s="13">
        <f t="shared" ca="1" si="9"/>
        <v>4098.4525715028167</v>
      </c>
      <c r="L13" s="13">
        <f t="shared" ca="1" si="9"/>
        <v>4333.3102000779554</v>
      </c>
    </row>
    <row r="14" spans="1:12">
      <c r="A14" s="1" t="s">
        <v>10</v>
      </c>
      <c r="B14" s="5">
        <f ca="1">+B13*0.3</f>
        <v>598.12903225806451</v>
      </c>
      <c r="C14" s="5">
        <f ca="1">+C13*C49</f>
        <v>661.20170250896058</v>
      </c>
      <c r="D14" s="5">
        <f ca="1">+D13*D49</f>
        <v>666.67016825965743</v>
      </c>
      <c r="E14" s="5">
        <f t="shared" ref="E14:L14" ca="1" si="10">+E13*E49</f>
        <v>758.89007023540944</v>
      </c>
      <c r="F14" s="5">
        <f t="shared" ca="1" si="10"/>
        <v>860.59602014260781</v>
      </c>
      <c r="G14" s="5">
        <f t="shared" ca="1" si="10"/>
        <v>972.34982448703181</v>
      </c>
      <c r="H14" s="5">
        <f t="shared" ca="1" si="10"/>
        <v>1037.6714017499996</v>
      </c>
      <c r="I14" s="5">
        <f t="shared" ca="1" si="10"/>
        <v>1098.5309718375013</v>
      </c>
      <c r="J14" s="5">
        <f t="shared" ca="1" si="10"/>
        <v>1162.4350204293762</v>
      </c>
      <c r="K14" s="5">
        <f t="shared" ca="1" si="10"/>
        <v>1229.535771450845</v>
      </c>
      <c r="L14" s="5">
        <f t="shared" ca="1" si="10"/>
        <v>1299.9930600233865</v>
      </c>
    </row>
    <row r="15" spans="1:12">
      <c r="A15" s="12" t="s">
        <v>11</v>
      </c>
      <c r="B15" s="13">
        <f ca="1">+B13-B14</f>
        <v>1395.6344086021504</v>
      </c>
      <c r="C15" s="13">
        <f ca="1">+C13-C14</f>
        <v>1542.803972520908</v>
      </c>
      <c r="D15" s="13">
        <f ca="1">+D13-D14</f>
        <v>1555.5637259392008</v>
      </c>
      <c r="E15" s="13">
        <f t="shared" ref="E15:L15" ca="1" si="11">+E13-E14</f>
        <v>1770.7434972159554</v>
      </c>
      <c r="F15" s="13">
        <f t="shared" ca="1" si="11"/>
        <v>2008.0573803327516</v>
      </c>
      <c r="G15" s="13">
        <f t="shared" ca="1" si="11"/>
        <v>2268.8162571364073</v>
      </c>
      <c r="H15" s="13">
        <f t="shared" ca="1" si="11"/>
        <v>2421.2332707499991</v>
      </c>
      <c r="I15" s="13">
        <f t="shared" ca="1" si="11"/>
        <v>2563.2389342875031</v>
      </c>
      <c r="J15" s="13">
        <f t="shared" ca="1" si="11"/>
        <v>2712.3483810018779</v>
      </c>
      <c r="K15" s="13">
        <f t="shared" ca="1" si="11"/>
        <v>2868.9168000519717</v>
      </c>
      <c r="L15" s="13">
        <f t="shared" ca="1" si="11"/>
        <v>3033.3171400545689</v>
      </c>
    </row>
    <row r="16" spans="1:12">
      <c r="A16" s="1"/>
      <c r="B16" s="6"/>
      <c r="C16" s="6"/>
      <c r="D16" s="6"/>
    </row>
    <row r="17" spans="1:12">
      <c r="A17" s="1"/>
      <c r="B17" s="11" t="s">
        <v>12</v>
      </c>
      <c r="C17" s="24" t="s">
        <v>40</v>
      </c>
      <c r="D17" s="24"/>
    </row>
    <row r="18" spans="1:12">
      <c r="A18" s="10" t="s">
        <v>13</v>
      </c>
      <c r="B18" s="11">
        <v>2002</v>
      </c>
      <c r="C18" s="11">
        <v>2003</v>
      </c>
      <c r="D18" s="11">
        <v>2004</v>
      </c>
      <c r="E18" s="11">
        <f>+D18+1</f>
        <v>2005</v>
      </c>
      <c r="F18" s="11">
        <f t="shared" ref="F18:K18" si="12">+E18+1</f>
        <v>2006</v>
      </c>
      <c r="G18" s="11">
        <f t="shared" si="12"/>
        <v>2007</v>
      </c>
      <c r="H18" s="11">
        <f t="shared" si="12"/>
        <v>2008</v>
      </c>
      <c r="I18" s="11">
        <f t="shared" si="12"/>
        <v>2009</v>
      </c>
      <c r="J18" s="11">
        <f t="shared" si="12"/>
        <v>2010</v>
      </c>
      <c r="K18" s="11">
        <f t="shared" si="12"/>
        <v>2011</v>
      </c>
      <c r="L18" s="11">
        <f>+K18+1</f>
        <v>2012</v>
      </c>
    </row>
    <row r="19" spans="1:12">
      <c r="A19" s="1"/>
      <c r="B19" s="6"/>
      <c r="C19" s="6"/>
      <c r="D19" s="6"/>
    </row>
    <row r="20" spans="1:12">
      <c r="A20" s="1" t="s">
        <v>14</v>
      </c>
      <c r="B20" s="5">
        <f ca="1">MAX(B39-B21-B22-B25,50)</f>
        <v>50</v>
      </c>
      <c r="C20" s="5">
        <f ca="1">MAX(C39-C21-C22-C25,50)</f>
        <v>50</v>
      </c>
      <c r="D20" s="5">
        <f ca="1">MAX(D39-D21-D22-D25,50)</f>
        <v>50</v>
      </c>
      <c r="E20" s="5">
        <f t="shared" ref="E20:L20" ca="1" si="13">MAX(E39-E21-E22-E25,50)</f>
        <v>50.000000000001819</v>
      </c>
      <c r="F20" s="5">
        <f t="shared" ca="1" si="13"/>
        <v>50</v>
      </c>
      <c r="G20" s="5">
        <f t="shared" ca="1" si="13"/>
        <v>50</v>
      </c>
      <c r="H20" s="5">
        <f t="shared" ca="1" si="13"/>
        <v>1771.0535267473733</v>
      </c>
      <c r="I20" s="5">
        <f t="shared" ca="1" si="13"/>
        <v>3849.0785117473752</v>
      </c>
      <c r="J20" s="5">
        <f t="shared" ca="1" si="13"/>
        <v>6052.0037459973773</v>
      </c>
      <c r="K20" s="5">
        <f t="shared" ca="1" si="13"/>
        <v>8386.077741959878</v>
      </c>
      <c r="L20" s="5">
        <f t="shared" ca="1" si="13"/>
        <v>10857.861437720509</v>
      </c>
    </row>
    <row r="21" spans="1:12">
      <c r="A21" s="1" t="s">
        <v>15</v>
      </c>
      <c r="B21" s="5">
        <v>6666</v>
      </c>
      <c r="C21" s="5">
        <f>+C5/360*C52</f>
        <v>9000</v>
      </c>
      <c r="D21" s="5">
        <f>+D5/360*D52</f>
        <v>9900</v>
      </c>
      <c r="E21" s="5">
        <f t="shared" ref="E21:K21" si="14">+E5/360*E52</f>
        <v>10395</v>
      </c>
      <c r="F21" s="5">
        <f t="shared" si="14"/>
        <v>10914.75</v>
      </c>
      <c r="G21" s="5">
        <f t="shared" si="14"/>
        <v>11460.487500000001</v>
      </c>
      <c r="H21" s="5">
        <f t="shared" si="14"/>
        <v>12033.511875</v>
      </c>
      <c r="I21" s="5">
        <f t="shared" si="14"/>
        <v>12635.187468750002</v>
      </c>
      <c r="J21" s="5">
        <f t="shared" si="14"/>
        <v>13266.946842187503</v>
      </c>
      <c r="K21" s="5">
        <f t="shared" si="14"/>
        <v>13930.294184296878</v>
      </c>
      <c r="L21" s="5">
        <f>+L5/360*L52</f>
        <v>14626.808893511719</v>
      </c>
    </row>
    <row r="22" spans="1:12">
      <c r="A22" s="1" t="s">
        <v>16</v>
      </c>
      <c r="B22" s="5">
        <v>1367</v>
      </c>
      <c r="C22" s="5">
        <f>+C6/360*C53</f>
        <v>1660</v>
      </c>
      <c r="D22" s="5">
        <f>+D6/360*D53</f>
        <v>1848</v>
      </c>
      <c r="E22" s="5">
        <f t="shared" ref="E22:K22" si="15">+E6/360*E53</f>
        <v>1940.3999999999999</v>
      </c>
      <c r="F22" s="5">
        <f t="shared" si="15"/>
        <v>2037.4199999999998</v>
      </c>
      <c r="G22" s="5">
        <f t="shared" si="15"/>
        <v>2139.2910000000002</v>
      </c>
      <c r="H22" s="5">
        <f t="shared" si="15"/>
        <v>2246.2555500000003</v>
      </c>
      <c r="I22" s="5">
        <f t="shared" si="15"/>
        <v>2358.5683275000001</v>
      </c>
      <c r="J22" s="5">
        <f t="shared" si="15"/>
        <v>2476.4967438750004</v>
      </c>
      <c r="K22" s="5">
        <f t="shared" si="15"/>
        <v>2600.3215810687507</v>
      </c>
      <c r="L22" s="5">
        <f>+L6/360*L53</f>
        <v>2730.337660122188</v>
      </c>
    </row>
    <row r="23" spans="1:12">
      <c r="A23" s="12" t="s">
        <v>17</v>
      </c>
      <c r="B23" s="13">
        <f ca="1">SUM(B19:B22)</f>
        <v>8083</v>
      </c>
      <c r="C23" s="13">
        <f ca="1">SUM(C19:C22)</f>
        <v>10710</v>
      </c>
      <c r="D23" s="13">
        <f ca="1">SUM(D19:D22)</f>
        <v>11798</v>
      </c>
      <c r="E23" s="13">
        <f t="shared" ref="E23:L23" ca="1" si="16">SUM(E19:E22)</f>
        <v>12385.400000000001</v>
      </c>
      <c r="F23" s="13">
        <f t="shared" ca="1" si="16"/>
        <v>13002.17</v>
      </c>
      <c r="G23" s="13">
        <f t="shared" ca="1" si="16"/>
        <v>13649.7785</v>
      </c>
      <c r="H23" s="13">
        <f t="shared" ca="1" si="16"/>
        <v>16050.820951747373</v>
      </c>
      <c r="I23" s="13">
        <f t="shared" ca="1" si="16"/>
        <v>18842.834307997378</v>
      </c>
      <c r="J23" s="13">
        <f t="shared" ca="1" si="16"/>
        <v>21795.447332059881</v>
      </c>
      <c r="K23" s="13">
        <f t="shared" ca="1" si="16"/>
        <v>24916.693507325504</v>
      </c>
      <c r="L23" s="13">
        <f t="shared" ca="1" si="16"/>
        <v>28215.007991354418</v>
      </c>
    </row>
    <row r="24" spans="1:12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12" t="s">
        <v>18</v>
      </c>
      <c r="B25" s="13">
        <v>6000</v>
      </c>
      <c r="C25" s="13">
        <v>6000</v>
      </c>
      <c r="D25" s="13">
        <v>6000</v>
      </c>
      <c r="E25" s="13">
        <v>6001</v>
      </c>
      <c r="F25" s="13">
        <v>6002</v>
      </c>
      <c r="G25" s="13">
        <v>6003</v>
      </c>
      <c r="H25" s="13">
        <v>6004</v>
      </c>
      <c r="I25" s="13">
        <v>6005</v>
      </c>
      <c r="J25" s="13">
        <v>6006</v>
      </c>
      <c r="K25" s="13">
        <v>6007</v>
      </c>
      <c r="L25" s="13">
        <v>6008</v>
      </c>
    </row>
    <row r="26" spans="1:12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14" t="s">
        <v>19</v>
      </c>
      <c r="B27" s="15">
        <f ca="1">+B23+B25</f>
        <v>14083</v>
      </c>
      <c r="C27" s="15">
        <f ca="1">+C23+C25</f>
        <v>16710</v>
      </c>
      <c r="D27" s="15">
        <f ca="1">+D23+D25</f>
        <v>17798</v>
      </c>
      <c r="E27" s="15">
        <f t="shared" ref="E27:K27" ca="1" si="17">+E23+E25</f>
        <v>18386.400000000001</v>
      </c>
      <c r="F27" s="15">
        <f t="shared" ca="1" si="17"/>
        <v>19004.169999999998</v>
      </c>
      <c r="G27" s="15">
        <f t="shared" ca="1" si="17"/>
        <v>19652.7785</v>
      </c>
      <c r="H27" s="15">
        <f t="shared" ca="1" si="17"/>
        <v>22054.820951747373</v>
      </c>
      <c r="I27" s="15">
        <f t="shared" ca="1" si="17"/>
        <v>24847.834307997378</v>
      </c>
      <c r="J27" s="15">
        <f t="shared" ca="1" si="17"/>
        <v>27801.447332059881</v>
      </c>
      <c r="K27" s="15">
        <f t="shared" ca="1" si="17"/>
        <v>30923.693507325504</v>
      </c>
      <c r="L27" s="15">
        <f ca="1">+L23+L25</f>
        <v>34223.007991354418</v>
      </c>
    </row>
    <row r="28" spans="1:12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1" t="s">
        <v>20</v>
      </c>
      <c r="B29" s="5">
        <v>2051</v>
      </c>
      <c r="C29" s="5">
        <f>+C55/360*C54</f>
        <v>2514.4166666666665</v>
      </c>
      <c r="D29" s="5">
        <f>+D55/360*D54</f>
        <v>2787.6666666666665</v>
      </c>
      <c r="E29" s="5">
        <f t="shared" ref="E29:K29" si="18">+E55/360*E54</f>
        <v>2918.2999999999997</v>
      </c>
      <c r="F29" s="5">
        <f t="shared" si="18"/>
        <v>3064.2149999999997</v>
      </c>
      <c r="G29" s="5">
        <f t="shared" si="18"/>
        <v>3217.4257500000003</v>
      </c>
      <c r="H29" s="5">
        <f t="shared" si="18"/>
        <v>3378.2970375000004</v>
      </c>
      <c r="I29" s="5">
        <f t="shared" si="18"/>
        <v>3547.2118893750007</v>
      </c>
      <c r="J29" s="5">
        <f t="shared" si="18"/>
        <v>3724.5724838437504</v>
      </c>
      <c r="K29" s="5">
        <f t="shared" si="18"/>
        <v>3910.8011080359383</v>
      </c>
      <c r="L29" s="5">
        <f>+L55/360*L54</f>
        <v>4106.3411634377353</v>
      </c>
    </row>
    <row r="30" spans="1:12">
      <c r="A30" s="1" t="s">
        <v>21</v>
      </c>
      <c r="B30" s="5">
        <v>598</v>
      </c>
      <c r="C30" s="5">
        <f ca="1">+C14</f>
        <v>661.20170250896058</v>
      </c>
      <c r="D30" s="5">
        <f ca="1">+D14</f>
        <v>666.67016825965743</v>
      </c>
      <c r="E30" s="5">
        <f t="shared" ref="E30:K30" ca="1" si="19">+E14</f>
        <v>758.89007023540944</v>
      </c>
      <c r="F30" s="5">
        <f t="shared" ca="1" si="19"/>
        <v>860.59602014260781</v>
      </c>
      <c r="G30" s="5">
        <f t="shared" ca="1" si="19"/>
        <v>972.34982448703181</v>
      </c>
      <c r="H30" s="5">
        <f t="shared" ca="1" si="19"/>
        <v>1037.6714017499996</v>
      </c>
      <c r="I30" s="5">
        <f t="shared" ca="1" si="19"/>
        <v>1098.5309718375013</v>
      </c>
      <c r="J30" s="5">
        <f t="shared" ca="1" si="19"/>
        <v>1162.4350204293762</v>
      </c>
      <c r="K30" s="5">
        <f t="shared" ca="1" si="19"/>
        <v>1229.535771450845</v>
      </c>
      <c r="L30" s="5">
        <f ca="1">+L14</f>
        <v>1299.9930600233865</v>
      </c>
    </row>
    <row r="31" spans="1:12">
      <c r="A31" s="1" t="s">
        <v>22</v>
      </c>
      <c r="B31" s="5">
        <f ca="1">MAX(B58-B59,0)</f>
        <v>3362.3655913978491</v>
      </c>
      <c r="C31" s="5">
        <f ca="1">MAX(C58-C59,0)</f>
        <v>4419.9432497013149</v>
      </c>
      <c r="D31" s="5">
        <f ca="1">MAX(D58-D59,0)</f>
        <v>4173.6610580114157</v>
      </c>
      <c r="E31" s="5">
        <f t="shared" ref="E31:L31" ca="1" si="20">MAX(E58-E59,0)</f>
        <v>3268.4643254863768</v>
      </c>
      <c r="F31" s="5">
        <f t="shared" ca="1" si="20"/>
        <v>2130.5559952464246</v>
      </c>
      <c r="G31" s="5">
        <f t="shared" ca="1" si="20"/>
        <v>245.38368376559265</v>
      </c>
      <c r="H31" s="5">
        <f t="shared" ca="1" si="20"/>
        <v>0</v>
      </c>
      <c r="I31" s="5">
        <f t="shared" ca="1" si="20"/>
        <v>0</v>
      </c>
      <c r="J31" s="5">
        <f t="shared" ca="1" si="20"/>
        <v>0</v>
      </c>
      <c r="K31" s="5">
        <f t="shared" ca="1" si="20"/>
        <v>0</v>
      </c>
      <c r="L31" s="5">
        <f t="shared" ca="1" si="20"/>
        <v>3.637978807091713E-12</v>
      </c>
    </row>
    <row r="32" spans="1:12">
      <c r="A32" s="12" t="s">
        <v>23</v>
      </c>
      <c r="B32" s="13">
        <f ca="1">SUM(B29:B31)</f>
        <v>6011.3655913978491</v>
      </c>
      <c r="C32" s="13">
        <f ca="1">SUM(C29:C31)</f>
        <v>7595.5616188769418</v>
      </c>
      <c r="D32" s="13">
        <f ca="1">SUM(D29:D31)</f>
        <v>7627.9978929377394</v>
      </c>
      <c r="E32" s="13">
        <f t="shared" ref="E32:L32" ca="1" si="21">SUM(E29:E31)</f>
        <v>6945.6543957217855</v>
      </c>
      <c r="F32" s="13">
        <f t="shared" ca="1" si="21"/>
        <v>6055.3670153890325</v>
      </c>
      <c r="G32" s="13">
        <f t="shared" ca="1" si="21"/>
        <v>4435.1592582526246</v>
      </c>
      <c r="H32" s="13">
        <f t="shared" ca="1" si="21"/>
        <v>4415.9684392500003</v>
      </c>
      <c r="I32" s="13">
        <f t="shared" ca="1" si="21"/>
        <v>4645.7428612125022</v>
      </c>
      <c r="J32" s="13">
        <f t="shared" ca="1" si="21"/>
        <v>4887.0075042731269</v>
      </c>
      <c r="K32" s="13">
        <f t="shared" ca="1" si="21"/>
        <v>5140.3368794867838</v>
      </c>
      <c r="L32" s="13">
        <f t="shared" ca="1" si="21"/>
        <v>5406.3342234611255</v>
      </c>
    </row>
    <row r="33" spans="1:12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12" t="s">
        <v>24</v>
      </c>
      <c r="B34" s="13">
        <v>2000</v>
      </c>
      <c r="C34" s="13">
        <f>+B34-C51</f>
        <v>1500</v>
      </c>
      <c r="D34" s="13">
        <f>+C34-D51</f>
        <v>1000</v>
      </c>
      <c r="E34" s="13">
        <f t="shared" ref="E34:K34" si="22">+D34-E51</f>
        <v>500</v>
      </c>
      <c r="F34" s="13">
        <f t="shared" si="22"/>
        <v>0</v>
      </c>
      <c r="G34" s="13">
        <f t="shared" si="22"/>
        <v>0</v>
      </c>
      <c r="H34" s="13">
        <f t="shared" si="22"/>
        <v>0</v>
      </c>
      <c r="I34" s="13">
        <f t="shared" si="22"/>
        <v>0</v>
      </c>
      <c r="J34" s="13">
        <f t="shared" si="22"/>
        <v>0</v>
      </c>
      <c r="K34" s="13">
        <f t="shared" si="22"/>
        <v>0</v>
      </c>
      <c r="L34" s="13">
        <f>+K34-L51</f>
        <v>0</v>
      </c>
    </row>
    <row r="35" spans="1:12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1" t="s">
        <v>25</v>
      </c>
      <c r="B36" s="5">
        <v>4676</v>
      </c>
      <c r="C36" s="5">
        <f ca="1">+B36+B37</f>
        <v>6071.6344086021509</v>
      </c>
      <c r="D36" s="5">
        <f ca="1">+C36+C37</f>
        <v>7614.4383811230591</v>
      </c>
      <c r="E36" s="5">
        <f t="shared" ref="E36:K36" ca="1" si="23">+D36+D37</f>
        <v>9170.0021070622606</v>
      </c>
      <c r="F36" s="5">
        <f t="shared" ca="1" si="23"/>
        <v>10940.745604278216</v>
      </c>
      <c r="G36" s="5">
        <f t="shared" ca="1" si="23"/>
        <v>12948.802984610968</v>
      </c>
      <c r="H36" s="5">
        <f t="shared" ca="1" si="23"/>
        <v>15217.619241747376</v>
      </c>
      <c r="I36" s="5">
        <f t="shared" ca="1" si="23"/>
        <v>17638.852512497375</v>
      </c>
      <c r="J36" s="5">
        <f t="shared" ca="1" si="23"/>
        <v>20202.091446784878</v>
      </c>
      <c r="K36" s="5">
        <f t="shared" ca="1" si="23"/>
        <v>22914.439827786755</v>
      </c>
      <c r="L36" s="5">
        <f ca="1">+K36+K37</f>
        <v>25783.356627838726</v>
      </c>
    </row>
    <row r="37" spans="1:12">
      <c r="A37" s="1" t="s">
        <v>26</v>
      </c>
      <c r="B37" s="5">
        <f ca="1">+B15</f>
        <v>1395.6344086021504</v>
      </c>
      <c r="C37" s="5">
        <f ca="1">+C15</f>
        <v>1542.803972520908</v>
      </c>
      <c r="D37" s="5">
        <f ca="1">+D15</f>
        <v>1555.5637259392008</v>
      </c>
      <c r="E37" s="5">
        <f t="shared" ref="E37:K37" ca="1" si="24">+E15</f>
        <v>1770.7434972159554</v>
      </c>
      <c r="F37" s="5">
        <f t="shared" ca="1" si="24"/>
        <v>2008.0573803327516</v>
      </c>
      <c r="G37" s="5">
        <f t="shared" ca="1" si="24"/>
        <v>2268.8162571364073</v>
      </c>
      <c r="H37" s="5">
        <f t="shared" ca="1" si="24"/>
        <v>2421.2332707499991</v>
      </c>
      <c r="I37" s="5">
        <f t="shared" ca="1" si="24"/>
        <v>2563.2389342875031</v>
      </c>
      <c r="J37" s="5">
        <f t="shared" ca="1" si="24"/>
        <v>2712.3483810018779</v>
      </c>
      <c r="K37" s="5">
        <f t="shared" ca="1" si="24"/>
        <v>2868.9168000519717</v>
      </c>
      <c r="L37" s="5">
        <f ca="1">+L15</f>
        <v>3033.3171400545689</v>
      </c>
    </row>
    <row r="38" spans="1:12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14" t="s">
        <v>27</v>
      </c>
      <c r="B39" s="15">
        <f ca="1">+B37+B36+B34+B32</f>
        <v>14083</v>
      </c>
      <c r="C39" s="15">
        <f ca="1">+C37+C36+C34+C32</f>
        <v>16710</v>
      </c>
      <c r="D39" s="15">
        <f ca="1">+D37+D36+D34+D32</f>
        <v>17798</v>
      </c>
      <c r="E39" s="15">
        <f t="shared" ref="E39:K39" ca="1" si="25">+E37+E36+E34+E32</f>
        <v>18386.400000000001</v>
      </c>
      <c r="F39" s="15">
        <f t="shared" ca="1" si="25"/>
        <v>19004.169999999998</v>
      </c>
      <c r="G39" s="15">
        <f t="shared" ca="1" si="25"/>
        <v>19652.7785</v>
      </c>
      <c r="H39" s="15">
        <f t="shared" ca="1" si="25"/>
        <v>22054.820951747373</v>
      </c>
      <c r="I39" s="15">
        <f t="shared" ca="1" si="25"/>
        <v>24847.834307997378</v>
      </c>
      <c r="J39" s="15">
        <f t="shared" ca="1" si="25"/>
        <v>27801.447332059881</v>
      </c>
      <c r="K39" s="15">
        <f t="shared" ca="1" si="25"/>
        <v>30923.693507325508</v>
      </c>
      <c r="L39" s="15">
        <f ca="1">+L37+L36+L34+L32</f>
        <v>34223.007991354418</v>
      </c>
    </row>
    <row r="40" spans="1:12">
      <c r="A40" s="1"/>
      <c r="B40" s="5">
        <f ca="1">+B39-B27</f>
        <v>0</v>
      </c>
      <c r="C40" s="5">
        <f ca="1">+C39-C27</f>
        <v>0</v>
      </c>
      <c r="D40" s="5">
        <f ca="1">+D39-D27</f>
        <v>0</v>
      </c>
      <c r="E40" s="5">
        <f t="shared" ref="E40:L40" ca="1" si="26">+E39-E27</f>
        <v>0</v>
      </c>
      <c r="F40" s="5">
        <f t="shared" ca="1" si="26"/>
        <v>0</v>
      </c>
      <c r="G40" s="5">
        <f t="shared" ca="1" si="26"/>
        <v>0</v>
      </c>
      <c r="H40" s="5">
        <f t="shared" ca="1" si="26"/>
        <v>0</v>
      </c>
      <c r="I40" s="5">
        <f t="shared" ca="1" si="26"/>
        <v>0</v>
      </c>
      <c r="J40" s="5">
        <f t="shared" ca="1" si="26"/>
        <v>0</v>
      </c>
      <c r="K40" s="5">
        <f t="shared" ca="1" si="26"/>
        <v>0</v>
      </c>
      <c r="L40" s="5">
        <f t="shared" ca="1" si="26"/>
        <v>0</v>
      </c>
    </row>
    <row r="41" spans="1:12">
      <c r="A41" s="1"/>
    </row>
    <row r="42" spans="1:12">
      <c r="A42" s="1"/>
    </row>
    <row r="43" spans="1:12">
      <c r="A43" s="10" t="s">
        <v>28</v>
      </c>
    </row>
    <row r="44" spans="1:12">
      <c r="A44" s="1"/>
    </row>
    <row r="45" spans="1:12">
      <c r="A45" s="1" t="s">
        <v>29</v>
      </c>
      <c r="C45" s="3">
        <v>0.2</v>
      </c>
      <c r="D45" s="3">
        <v>0.1</v>
      </c>
      <c r="E45" s="3">
        <v>0.05</v>
      </c>
      <c r="F45" s="3">
        <v>0.05</v>
      </c>
      <c r="G45" s="3">
        <v>0.05</v>
      </c>
      <c r="H45" s="3">
        <v>0.05</v>
      </c>
      <c r="I45" s="3">
        <v>0.05</v>
      </c>
      <c r="J45" s="3">
        <v>0.05</v>
      </c>
      <c r="K45" s="3">
        <v>0.05</v>
      </c>
      <c r="L45" s="3">
        <v>0.05</v>
      </c>
    </row>
    <row r="46" spans="1:12">
      <c r="A46" s="1" t="s">
        <v>30</v>
      </c>
      <c r="B46" s="4">
        <f>+B6/B5</f>
        <v>0.82</v>
      </c>
      <c r="C46" s="3">
        <f>1-C47</f>
        <v>0.83</v>
      </c>
      <c r="D46" s="3">
        <f>1-D47</f>
        <v>0.84</v>
      </c>
      <c r="E46" s="3">
        <f>+D46</f>
        <v>0.84</v>
      </c>
      <c r="F46" s="3">
        <f t="shared" ref="F46:K46" si="27">+E46</f>
        <v>0.84</v>
      </c>
      <c r="G46" s="3">
        <f t="shared" si="27"/>
        <v>0.84</v>
      </c>
      <c r="H46" s="3">
        <f t="shared" si="27"/>
        <v>0.84</v>
      </c>
      <c r="I46" s="3">
        <f t="shared" si="27"/>
        <v>0.84</v>
      </c>
      <c r="J46" s="3">
        <f t="shared" si="27"/>
        <v>0.84</v>
      </c>
      <c r="K46" s="3">
        <f t="shared" si="27"/>
        <v>0.84</v>
      </c>
      <c r="L46" s="3">
        <f>+K46</f>
        <v>0.84</v>
      </c>
    </row>
    <row r="47" spans="1:12">
      <c r="A47" s="1" t="s">
        <v>31</v>
      </c>
      <c r="B47" s="4">
        <f>+B7/B5</f>
        <v>0.18</v>
      </c>
      <c r="C47" s="3">
        <v>0.17</v>
      </c>
      <c r="D47" s="3">
        <v>0.16</v>
      </c>
      <c r="E47" s="3">
        <f>+D47</f>
        <v>0.16</v>
      </c>
      <c r="F47" s="3">
        <f t="shared" ref="F47:K47" si="28">+E47</f>
        <v>0.16</v>
      </c>
      <c r="G47" s="3">
        <f t="shared" si="28"/>
        <v>0.16</v>
      </c>
      <c r="H47" s="3">
        <f t="shared" si="28"/>
        <v>0.16</v>
      </c>
      <c r="I47" s="3">
        <f t="shared" si="28"/>
        <v>0.16</v>
      </c>
      <c r="J47" s="3">
        <f t="shared" si="28"/>
        <v>0.16</v>
      </c>
      <c r="K47" s="3">
        <f t="shared" si="28"/>
        <v>0.16</v>
      </c>
      <c r="L47" s="3">
        <f>+K47</f>
        <v>0.16</v>
      </c>
    </row>
    <row r="48" spans="1:12">
      <c r="A48" s="1" t="s">
        <v>8</v>
      </c>
      <c r="B48" s="3">
        <v>0.1</v>
      </c>
      <c r="C48" s="3">
        <v>0.1</v>
      </c>
      <c r="D48" s="3">
        <v>0.1</v>
      </c>
      <c r="E48" s="3">
        <v>0.1</v>
      </c>
      <c r="F48" s="3">
        <v>0.1</v>
      </c>
      <c r="G48" s="3">
        <v>0.1</v>
      </c>
      <c r="H48" s="3">
        <v>0.1</v>
      </c>
      <c r="I48" s="3">
        <v>0.1</v>
      </c>
      <c r="J48" s="3">
        <v>0.1</v>
      </c>
      <c r="K48" s="3">
        <v>0.1</v>
      </c>
      <c r="L48" s="3">
        <v>0.1</v>
      </c>
    </row>
    <row r="49" spans="1:12">
      <c r="A49" s="1" t="s">
        <v>32</v>
      </c>
      <c r="B49" s="3">
        <v>0.3</v>
      </c>
      <c r="C49" s="3">
        <v>0.3</v>
      </c>
      <c r="D49" s="3">
        <v>0.3</v>
      </c>
      <c r="E49" s="3">
        <v>0.3</v>
      </c>
      <c r="F49" s="3">
        <v>0.3</v>
      </c>
      <c r="G49" s="3">
        <v>0.3</v>
      </c>
      <c r="H49" s="3">
        <v>0.3</v>
      </c>
      <c r="I49" s="3">
        <v>0.3</v>
      </c>
      <c r="J49" s="3">
        <v>0.3</v>
      </c>
      <c r="K49" s="3">
        <v>0.3</v>
      </c>
      <c r="L49" s="3">
        <v>0.3</v>
      </c>
    </row>
    <row r="50" spans="1:12">
      <c r="A50" s="1" t="s">
        <v>6</v>
      </c>
      <c r="B50" s="3">
        <v>0.1</v>
      </c>
      <c r="C50" s="3">
        <v>0.1</v>
      </c>
      <c r="D50" s="3">
        <v>0.1</v>
      </c>
      <c r="E50" s="3">
        <v>0.1</v>
      </c>
      <c r="F50" s="3">
        <v>0.1</v>
      </c>
      <c r="G50" s="3">
        <v>0.1</v>
      </c>
      <c r="H50" s="3">
        <v>0.1</v>
      </c>
      <c r="I50" s="3">
        <v>0.1</v>
      </c>
      <c r="J50" s="3">
        <v>0.1</v>
      </c>
      <c r="K50" s="3">
        <v>0.1</v>
      </c>
      <c r="L50" s="3">
        <v>0.1</v>
      </c>
    </row>
    <row r="51" spans="1:12">
      <c r="A51" s="1" t="s">
        <v>39</v>
      </c>
      <c r="C51" s="2">
        <v>500</v>
      </c>
      <c r="D51" s="2">
        <v>500</v>
      </c>
      <c r="E51" s="2">
        <v>500</v>
      </c>
      <c r="F51" s="2">
        <v>500</v>
      </c>
    </row>
    <row r="52" spans="1:12">
      <c r="A52" s="1" t="s">
        <v>33</v>
      </c>
      <c r="B52" s="8">
        <f>+B21/(B5/360)</f>
        <v>79.992000000000004</v>
      </c>
      <c r="C52" s="9">
        <v>90</v>
      </c>
      <c r="D52" s="9">
        <v>90</v>
      </c>
      <c r="E52" s="9">
        <v>90</v>
      </c>
      <c r="F52" s="9">
        <v>90</v>
      </c>
      <c r="G52" s="9">
        <v>90</v>
      </c>
      <c r="H52" s="9">
        <v>90</v>
      </c>
      <c r="I52" s="9">
        <v>90</v>
      </c>
      <c r="J52" s="9">
        <v>90</v>
      </c>
      <c r="K52" s="9">
        <v>90</v>
      </c>
      <c r="L52" s="9">
        <v>90</v>
      </c>
    </row>
    <row r="53" spans="1:12">
      <c r="A53" s="1" t="s">
        <v>34</v>
      </c>
      <c r="C53" s="9">
        <v>20</v>
      </c>
      <c r="D53" s="9">
        <v>20</v>
      </c>
      <c r="E53" s="9">
        <v>20</v>
      </c>
      <c r="F53" s="9">
        <v>20</v>
      </c>
      <c r="G53" s="9">
        <v>20</v>
      </c>
      <c r="H53" s="9">
        <v>20</v>
      </c>
      <c r="I53" s="9">
        <v>20</v>
      </c>
      <c r="J53" s="9">
        <v>20</v>
      </c>
      <c r="K53" s="9">
        <v>20</v>
      </c>
      <c r="L53" s="9">
        <v>20</v>
      </c>
    </row>
    <row r="54" spans="1:12">
      <c r="A54" s="1" t="s">
        <v>35</v>
      </c>
      <c r="B54" s="9"/>
      <c r="C54" s="9">
        <v>30</v>
      </c>
      <c r="D54" s="9">
        <v>30</v>
      </c>
      <c r="E54" s="9">
        <v>30</v>
      </c>
      <c r="F54" s="9">
        <v>30</v>
      </c>
      <c r="G54" s="9">
        <v>30</v>
      </c>
      <c r="H54" s="9">
        <v>30</v>
      </c>
      <c r="I54" s="9">
        <v>30</v>
      </c>
      <c r="J54" s="9">
        <v>30</v>
      </c>
      <c r="K54" s="9">
        <v>30</v>
      </c>
      <c r="L54" s="9">
        <v>30</v>
      </c>
    </row>
    <row r="55" spans="1:12">
      <c r="A55" s="1" t="s">
        <v>36</v>
      </c>
      <c r="B55" s="2"/>
      <c r="C55" s="2">
        <f>+C22-B22+C6</f>
        <v>30173</v>
      </c>
      <c r="D55" s="2">
        <f>+D22-C22+D6</f>
        <v>33452</v>
      </c>
      <c r="E55" s="2">
        <f t="shared" ref="E55:K55" si="29">+E22-D22+E6</f>
        <v>35019.599999999999</v>
      </c>
      <c r="F55" s="2">
        <f t="shared" si="29"/>
        <v>36770.579999999994</v>
      </c>
      <c r="G55" s="2">
        <f t="shared" si="29"/>
        <v>38609.109000000004</v>
      </c>
      <c r="H55" s="2">
        <f t="shared" si="29"/>
        <v>40539.564450000005</v>
      </c>
      <c r="I55" s="2">
        <f t="shared" si="29"/>
        <v>42566.542672500007</v>
      </c>
      <c r="J55" s="2">
        <f t="shared" si="29"/>
        <v>44694.869806125003</v>
      </c>
      <c r="K55" s="2">
        <f t="shared" si="29"/>
        <v>46929.613296431256</v>
      </c>
      <c r="L55" s="2">
        <f>+L22-K22+L6</f>
        <v>49276.093961252816</v>
      </c>
    </row>
    <row r="56" spans="1:12">
      <c r="A56" s="1" t="s">
        <v>37</v>
      </c>
      <c r="B56" s="2"/>
      <c r="C56" s="2">
        <v>600</v>
      </c>
      <c r="D56" s="2">
        <v>600</v>
      </c>
      <c r="E56" s="2">
        <f>+D56</f>
        <v>600</v>
      </c>
      <c r="F56" s="2">
        <f t="shared" ref="F56:K56" si="30">+E56</f>
        <v>600</v>
      </c>
      <c r="G56" s="2">
        <f t="shared" si="30"/>
        <v>600</v>
      </c>
      <c r="H56" s="2">
        <f t="shared" si="30"/>
        <v>600</v>
      </c>
      <c r="I56" s="2">
        <f t="shared" si="30"/>
        <v>600</v>
      </c>
      <c r="J56" s="2">
        <f t="shared" si="30"/>
        <v>600</v>
      </c>
      <c r="K56" s="2">
        <f t="shared" si="30"/>
        <v>600</v>
      </c>
      <c r="L56" s="2">
        <f>+K56</f>
        <v>600</v>
      </c>
    </row>
    <row r="57" spans="1:12">
      <c r="A57" s="1"/>
    </row>
    <row r="58" spans="1:12">
      <c r="A58" s="16" t="s">
        <v>38</v>
      </c>
      <c r="B58" s="7">
        <f ca="1">+B20+B21+B22-B29-B30</f>
        <v>5434</v>
      </c>
      <c r="C58" s="7">
        <f ca="1">+C20+C21+C22-C29-C30</f>
        <v>7534.3816308243731</v>
      </c>
      <c r="D58" s="7">
        <f ca="1">+D20+D21+D22-D29-D30</f>
        <v>8343.6631650736763</v>
      </c>
      <c r="E58" s="7">
        <f t="shared" ref="E58:K58" ca="1" si="31">+E20+E21+E22-E29-E30</f>
        <v>8708.2099297645927</v>
      </c>
      <c r="F58" s="7">
        <f t="shared" ca="1" si="31"/>
        <v>9077.3589798573921</v>
      </c>
      <c r="G58" s="7">
        <f t="shared" ca="1" si="31"/>
        <v>9460.0029255129684</v>
      </c>
      <c r="H58" s="7">
        <f t="shared" ca="1" si="31"/>
        <v>11634.852512497373</v>
      </c>
      <c r="I58" s="7">
        <f t="shared" ca="1" si="31"/>
        <v>14197.091446784876</v>
      </c>
      <c r="J58" s="7">
        <f t="shared" ca="1" si="31"/>
        <v>16908.439827786755</v>
      </c>
      <c r="K58" s="7">
        <f t="shared" ca="1" si="31"/>
        <v>19776.356627838719</v>
      </c>
      <c r="L58" s="7">
        <f ca="1">+L20+L21+L22-L29-L30</f>
        <v>22808.673767893299</v>
      </c>
    </row>
    <row r="59" spans="1:12">
      <c r="A59" s="16" t="s">
        <v>41</v>
      </c>
      <c r="B59" s="7">
        <f ca="1">+B36+B37+B34-B25</f>
        <v>2071.6344086021509</v>
      </c>
      <c r="C59" s="7">
        <f ca="1">+C36+C37+C34-C25</f>
        <v>3114.4383811230582</v>
      </c>
      <c r="D59" s="7">
        <f ca="1">+D36+D37+D34-D25</f>
        <v>4170.0021070622606</v>
      </c>
      <c r="E59" s="7">
        <f t="shared" ref="E59:K59" ca="1" si="32">+E36+E37+E34-E25</f>
        <v>5439.745604278216</v>
      </c>
      <c r="F59" s="7">
        <f t="shared" ca="1" si="32"/>
        <v>6946.8029846109675</v>
      </c>
      <c r="G59" s="7">
        <f t="shared" ca="1" si="32"/>
        <v>9214.6192417473758</v>
      </c>
      <c r="H59" s="7">
        <f t="shared" ca="1" si="32"/>
        <v>11634.852512497375</v>
      </c>
      <c r="I59" s="7">
        <f t="shared" ca="1" si="32"/>
        <v>14197.091446784878</v>
      </c>
      <c r="J59" s="7">
        <f t="shared" ca="1" si="32"/>
        <v>16908.439827786755</v>
      </c>
      <c r="K59" s="7">
        <f t="shared" ca="1" si="32"/>
        <v>19776.356627838726</v>
      </c>
      <c r="L59" s="7">
        <f ca="1">+L36+L37+L34-L25</f>
        <v>22808.673767893295</v>
      </c>
    </row>
    <row r="60" spans="1:12" ht="25.5">
      <c r="A60" s="17" t="s">
        <v>42</v>
      </c>
      <c r="B60" s="18">
        <f ca="1">+B59-B58</f>
        <v>-3362.3655913978491</v>
      </c>
      <c r="C60" s="18">
        <f ca="1">+C59-C58</f>
        <v>-4419.9432497013149</v>
      </c>
      <c r="D60" s="18">
        <f ca="1">+D59-D58</f>
        <v>-4173.6610580114157</v>
      </c>
      <c r="E60" s="18">
        <f t="shared" ref="E60:L60" ca="1" si="33">+E59-E58</f>
        <v>-3268.4643254863768</v>
      </c>
      <c r="F60" s="18">
        <f t="shared" ca="1" si="33"/>
        <v>-2130.5559952464246</v>
      </c>
      <c r="G60" s="18">
        <f t="shared" ca="1" si="33"/>
        <v>-245.38368376559265</v>
      </c>
      <c r="H60" s="18">
        <f t="shared" ca="1" si="33"/>
        <v>0</v>
      </c>
      <c r="I60" s="18">
        <f t="shared" ca="1" si="33"/>
        <v>0</v>
      </c>
      <c r="J60" s="18">
        <f t="shared" ca="1" si="33"/>
        <v>0</v>
      </c>
      <c r="K60" s="18">
        <f t="shared" ca="1" si="33"/>
        <v>0</v>
      </c>
      <c r="L60" s="18">
        <f t="shared" ca="1" si="33"/>
        <v>0</v>
      </c>
    </row>
    <row r="61" spans="1:12">
      <c r="A61" s="1"/>
    </row>
    <row r="63" spans="1:12">
      <c r="A63" s="21" t="s">
        <v>44</v>
      </c>
    </row>
    <row r="65" spans="1:13">
      <c r="A65" s="21" t="s">
        <v>11</v>
      </c>
      <c r="C65" s="7">
        <f ca="1">+C15</f>
        <v>1542.803972520908</v>
      </c>
      <c r="D65" s="7">
        <f t="shared" ref="D65:L65" ca="1" si="34">+D15</f>
        <v>1555.5637259392008</v>
      </c>
      <c r="E65" s="7">
        <f t="shared" ca="1" si="34"/>
        <v>1770.7434972159554</v>
      </c>
      <c r="F65" s="7">
        <f t="shared" ca="1" si="34"/>
        <v>2008.0573803327516</v>
      </c>
      <c r="G65" s="7">
        <f t="shared" ca="1" si="34"/>
        <v>2268.8162571364073</v>
      </c>
      <c r="H65" s="7">
        <f t="shared" ca="1" si="34"/>
        <v>2421.2332707499991</v>
      </c>
      <c r="I65" s="7">
        <f t="shared" ca="1" si="34"/>
        <v>2563.2389342875031</v>
      </c>
      <c r="J65" s="7">
        <f t="shared" ca="1" si="34"/>
        <v>2712.3483810018779</v>
      </c>
      <c r="K65" s="7">
        <f t="shared" ca="1" si="34"/>
        <v>2868.9168000519717</v>
      </c>
      <c r="L65" s="7">
        <f t="shared" ca="1" si="34"/>
        <v>3033.3171400545689</v>
      </c>
    </row>
    <row r="66" spans="1:13">
      <c r="A66" s="21" t="s">
        <v>45</v>
      </c>
      <c r="C66" s="7">
        <f>+C10</f>
        <v>600</v>
      </c>
      <c r="D66" s="7">
        <f t="shared" ref="D66:L66" si="35">+D10</f>
        <v>600</v>
      </c>
      <c r="E66" s="7">
        <f t="shared" si="35"/>
        <v>600.1</v>
      </c>
      <c r="F66" s="7">
        <f t="shared" si="35"/>
        <v>600.20000000000005</v>
      </c>
      <c r="G66" s="7">
        <f t="shared" si="35"/>
        <v>600.30000000000007</v>
      </c>
      <c r="H66" s="7">
        <f t="shared" si="35"/>
        <v>600.4</v>
      </c>
      <c r="I66" s="7">
        <f t="shared" si="35"/>
        <v>600.5</v>
      </c>
      <c r="J66" s="7">
        <f t="shared" si="35"/>
        <v>600.6</v>
      </c>
      <c r="K66" s="7">
        <f t="shared" si="35"/>
        <v>600.70000000000005</v>
      </c>
      <c r="L66" s="7">
        <f t="shared" si="35"/>
        <v>600.80000000000007</v>
      </c>
    </row>
    <row r="67" spans="1:13">
      <c r="A67" s="21" t="s">
        <v>46</v>
      </c>
      <c r="C67" s="22">
        <f>-C56</f>
        <v>-600</v>
      </c>
      <c r="D67" s="22">
        <f t="shared" ref="D67:L67" si="36">-D56</f>
        <v>-600</v>
      </c>
      <c r="E67" s="22">
        <f t="shared" si="36"/>
        <v>-600</v>
      </c>
      <c r="F67" s="22">
        <f t="shared" si="36"/>
        <v>-600</v>
      </c>
      <c r="G67" s="22">
        <f t="shared" si="36"/>
        <v>-600</v>
      </c>
      <c r="H67" s="22">
        <f t="shared" si="36"/>
        <v>-600</v>
      </c>
      <c r="I67" s="22">
        <f t="shared" si="36"/>
        <v>-600</v>
      </c>
      <c r="J67" s="22">
        <f t="shared" si="36"/>
        <v>-600</v>
      </c>
      <c r="K67" s="22">
        <f t="shared" si="36"/>
        <v>-600</v>
      </c>
      <c r="L67" s="22">
        <f t="shared" si="36"/>
        <v>-600</v>
      </c>
    </row>
    <row r="68" spans="1:13">
      <c r="A68" s="21" t="s">
        <v>47</v>
      </c>
      <c r="C68" s="7">
        <f ca="1">-C58+B58</f>
        <v>-2100.3816308243731</v>
      </c>
      <c r="D68" s="7">
        <f ca="1">-D58+C58</f>
        <v>-809.28153424930315</v>
      </c>
      <c r="E68" s="7">
        <f ca="1">-E58+D58</f>
        <v>-364.54676469091646</v>
      </c>
      <c r="F68" s="7">
        <f ca="1">-F58+E58</f>
        <v>-369.14905009279937</v>
      </c>
      <c r="G68" s="7">
        <f ca="1">-G58+F58</f>
        <v>-382.64394565557632</v>
      </c>
      <c r="H68" s="7">
        <f ca="1">-H58+G58-50+H20</f>
        <v>-453.79606023703127</v>
      </c>
      <c r="I68" s="7">
        <f ca="1">-I58+H58-50+I20</f>
        <v>1236.8395774598721</v>
      </c>
      <c r="J68" s="7">
        <f ca="1">-J58+I58-50+J20</f>
        <v>3290.6553649954985</v>
      </c>
      <c r="K68" s="7">
        <f ca="1">-K58+J58-50+K20</f>
        <v>5468.1609419079141</v>
      </c>
      <c r="L68" s="7">
        <f ca="1">-L58+K58-50+L20</f>
        <v>7775.5442976659288</v>
      </c>
    </row>
    <row r="69" spans="1:13">
      <c r="A69" s="21" t="s">
        <v>48</v>
      </c>
      <c r="C69" s="7">
        <f ca="1">+C12*(1-C49)</f>
        <v>414.39602747909203</v>
      </c>
      <c r="D69" s="7">
        <f t="shared" ref="D69:L69" ca="1" si="37">+D12*(1-D49)</f>
        <v>362.15627406079903</v>
      </c>
      <c r="E69" s="7">
        <f t="shared" ca="1" si="37"/>
        <v>263.79250278404641</v>
      </c>
      <c r="F69" s="7">
        <f t="shared" ca="1" si="37"/>
        <v>149.13891966724972</v>
      </c>
      <c r="G69" s="7">
        <f t="shared" ca="1" si="37"/>
        <v>17.176857863591486</v>
      </c>
      <c r="H69" s="7">
        <f t="shared" ca="1" si="37"/>
        <v>0</v>
      </c>
      <c r="I69" s="7">
        <f t="shared" ca="1" si="37"/>
        <v>0</v>
      </c>
      <c r="J69" s="7">
        <f t="shared" ca="1" si="37"/>
        <v>0</v>
      </c>
      <c r="K69" s="7">
        <f t="shared" ca="1" si="37"/>
        <v>0</v>
      </c>
      <c r="L69" s="7">
        <f t="shared" ca="1" si="37"/>
        <v>2.5465851649641988E-13</v>
      </c>
    </row>
    <row r="71" spans="1:13">
      <c r="A71" s="21" t="s">
        <v>44</v>
      </c>
      <c r="C71" s="7">
        <f ca="1">SUM(C65:C70)</f>
        <v>-143.18163082437286</v>
      </c>
      <c r="D71" s="7">
        <f t="shared" ref="D71:L71" ca="1" si="38">SUM(D65:D70)</f>
        <v>1108.4384657506964</v>
      </c>
      <c r="E71" s="7">
        <f t="shared" ca="1" si="38"/>
        <v>1670.0892353090853</v>
      </c>
      <c r="F71" s="7">
        <f t="shared" ca="1" si="38"/>
        <v>1788.2472499072016</v>
      </c>
      <c r="G71" s="7">
        <f t="shared" ca="1" si="38"/>
        <v>1903.6491693444227</v>
      </c>
      <c r="H71" s="7">
        <f t="shared" ca="1" si="38"/>
        <v>1967.8372105129679</v>
      </c>
      <c r="I71" s="7">
        <f t="shared" ca="1" si="38"/>
        <v>3800.5785117473752</v>
      </c>
      <c r="J71" s="7">
        <f t="shared" ca="1" si="38"/>
        <v>6003.6037459973759</v>
      </c>
      <c r="K71" s="7">
        <f t="shared" ca="1" si="38"/>
        <v>8337.777741959886</v>
      </c>
      <c r="L71" s="7">
        <f t="shared" ca="1" si="38"/>
        <v>10809.661437720497</v>
      </c>
      <c r="M71" s="7">
        <f ca="1">+(L71*1.05)/0.05</f>
        <v>227002.89019213044</v>
      </c>
    </row>
    <row r="72" spans="1:13">
      <c r="M72" s="2"/>
    </row>
    <row r="73" spans="1:13">
      <c r="A73" t="s">
        <v>49</v>
      </c>
      <c r="B73" s="23">
        <f ca="1">NPV(B75,C71:M71)</f>
        <v>40273.881765466314</v>
      </c>
    </row>
    <row r="75" spans="1:13">
      <c r="A75" t="s">
        <v>50</v>
      </c>
      <c r="B75" s="4">
        <v>0.2</v>
      </c>
    </row>
  </sheetData>
  <mergeCells count="2">
    <mergeCell ref="C3:D3"/>
    <mergeCell ref="C17:D17"/>
  </mergeCells>
  <phoneticPr fontId="3" type="noConversion"/>
  <hyperlinks>
    <hyperlink ref="A1" r:id="rId1" display="e-computerl@nd"/>
  </hyperlinks>
  <pageMargins left="0.75" right="0.75" top="1" bottom="1" header="0" footer="0"/>
  <pageSetup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Asesor Profesional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Gonzalez Serna</dc:creator>
  <cp:lastModifiedBy>Valued Acer Customer</cp:lastModifiedBy>
  <dcterms:created xsi:type="dcterms:W3CDTF">2007-02-12T17:29:04Z</dcterms:created>
  <dcterms:modified xsi:type="dcterms:W3CDTF">2009-06-26T17:40:18Z</dcterms:modified>
</cp:coreProperties>
</file>