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4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6_4.bin" ContentType="application/vnd.openxmlformats-officedocument.oleObject"/>
  <Override PartName="/xl/embeddings/oleObject_7_0.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Override PartName="/xl/embeddings/oleObject_12_2.bin" ContentType="application/vnd.openxmlformats-officedocument.oleObject"/>
  <Override PartName="/xl/embeddings/oleObject_12_3.bin" ContentType="application/vnd.openxmlformats-officedocument.oleObject"/>
  <Override PartName="/xl/embeddings/oleObject_12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2120" windowHeight="9000" tabRatio="869" activeTab="0"/>
  </bookViews>
  <sheets>
    <sheet name="Índice" sheetId="1" r:id="rId1"/>
    <sheet name="Ejercicios" sheetId="2" r:id="rId2"/>
    <sheet name="Rta_1.1" sheetId="3" r:id="rId3"/>
    <sheet name="Rta_1.2" sheetId="4" r:id="rId4"/>
    <sheet name="Rta_1.3" sheetId="5" r:id="rId5"/>
    <sheet name="Rta_1.4" sheetId="6" r:id="rId6"/>
    <sheet name="Rta_1.7" sheetId="7" r:id="rId7"/>
    <sheet name="Rta_1.8" sheetId="8" r:id="rId8"/>
    <sheet name="Rta_1.10" sheetId="9" r:id="rId9"/>
    <sheet name="Rta_1.11" sheetId="10" r:id="rId10"/>
    <sheet name="Rta_1.12" sheetId="11" r:id="rId11"/>
    <sheet name="Rta_1.13" sheetId="12" r:id="rId12"/>
    <sheet name="Rta_1.14" sheetId="13" r:id="rId13"/>
    <sheet name="Ap_1.A.1" sheetId="14" r:id="rId14"/>
    <sheet name="Ap_1.A.2" sheetId="15" r:id="rId15"/>
    <sheet name="Ap_1.A.3" sheetId="16" r:id="rId16"/>
    <sheet name="Ap_1.A.4" sheetId="17" r:id="rId17"/>
    <sheet name="Ap_1.A.5" sheetId="18" r:id="rId18"/>
    <sheet name="Ap_1.A.6" sheetId="19" r:id="rId19"/>
    <sheet name="Fuentes" sheetId="20" r:id="rId20"/>
  </sheets>
  <definedNames>
    <definedName name="_xlnm.Print_Area" localSheetId="13">'Ap_1.A.1'!$A$1:$K$29</definedName>
    <definedName name="_xlnm.Print_Area" localSheetId="14">'Ap_1.A.2'!$A$1:$L$82</definedName>
    <definedName name="_xlnm.Print_Area" localSheetId="15">'Ap_1.A.3'!$A$1:$K$23</definedName>
    <definedName name="_xlnm.Print_Area" localSheetId="16">'Ap_1.A.4'!$A$1:$O$34</definedName>
    <definedName name="_xlnm.Print_Area" localSheetId="17">'Ap_1.A.5'!$A$1:$Q$33</definedName>
    <definedName name="_xlnm.Print_Area" localSheetId="18">'Ap_1.A.6'!$A$1:$O$58</definedName>
    <definedName name="_xlnm.Print_Area" localSheetId="1">'Ejercicios'!$A$1:$N$111</definedName>
    <definedName name="_xlnm.Print_Area" localSheetId="19">'Fuentes'!$A$1:$L$38</definedName>
    <definedName name="_xlnm.Print_Area" localSheetId="0">'Índice'!$A$1:$J$35</definedName>
    <definedName name="_xlnm.Print_Area" localSheetId="2">'Rta_1.1'!$A$1:$K$11</definedName>
    <definedName name="_xlnm.Print_Area" localSheetId="8">'Rta_1.10'!$A$1:$J$19</definedName>
    <definedName name="_xlnm.Print_Area" localSheetId="9">'Rta_1.11'!$A$1:$J$36</definedName>
    <definedName name="_xlnm.Print_Area" localSheetId="10">'Rta_1.12'!$A$1:$S$33</definedName>
    <definedName name="_xlnm.Print_Area" localSheetId="11">'Rta_1.13'!$A$1:$J$12</definedName>
    <definedName name="_xlnm.Print_Area" localSheetId="12">'Rta_1.14'!$A$1:$H$25</definedName>
    <definedName name="_xlnm.Print_Area" localSheetId="3">'Rta_1.2'!$A$1:$M$43</definedName>
    <definedName name="_xlnm.Print_Area" localSheetId="4">'Rta_1.3'!$A$1:$K$33</definedName>
    <definedName name="_xlnm.Print_Area" localSheetId="5">'Rta_1.4'!$A$1:$J$14</definedName>
    <definedName name="_xlnm.Print_Area" localSheetId="6">'Rta_1.7'!$A$1:$M$52</definedName>
    <definedName name="_xlnm.Print_Area" localSheetId="7">'Rta_1.8'!$A$1:$H$15</definedName>
    <definedName name="_xlnm.Print_Titles" localSheetId="1">'Ejercicios'!$2:$7</definedName>
  </definedNames>
  <calcPr fullCalcOnLoad="1" iterate="1" iterateCount="1" iterateDelta="0.001"/>
</workbook>
</file>

<file path=xl/sharedStrings.xml><?xml version="1.0" encoding="utf-8"?>
<sst xmlns="http://schemas.openxmlformats.org/spreadsheetml/2006/main" count="639" uniqueCount="384">
  <si>
    <t xml:space="preserve">16/ DANE, “La población en Colombia a partir del censo 1985”, Boletín Mensual de Estadística No. 437, agosto 1989. </t>
  </si>
  <si>
    <t xml:space="preserve">17/ Proyecciones quinquenales de población por sexo y edad, 1950-2050. Estudios Censales 2 y 3, DANE, julio 1998. </t>
  </si>
  <si>
    <t xml:space="preserve">15/ DANE, ENH 27. </t>
  </si>
  <si>
    <t xml:space="preserve">Fuentes: 1/ E. Arriaga, New life tables for Latin American Population in the Twentieth Centuries. Population Monographs Series No. 3, University of California, Berkeley, 1968.  
</t>
  </si>
  <si>
    <t xml:space="preserve">2/ E. Arriaga, Federación Panamericana de Facultades de Medicina. Mortalidad. Tema II, segundo tomo, p. 290.   </t>
  </si>
  <si>
    <t xml:space="preserve">3/  A. López Toro. Análisis demográfico de los censos colombianos1951-1964, CEDE, 1968. </t>
  </si>
  <si>
    <t>Anexos</t>
  </si>
  <si>
    <t>Índice</t>
  </si>
  <si>
    <t>Volver al índice</t>
  </si>
  <si>
    <t>Ejercicios</t>
  </si>
  <si>
    <t>Preguntas</t>
  </si>
  <si>
    <t>2.</t>
  </si>
  <si>
    <t>3.</t>
  </si>
  <si>
    <t>4.</t>
  </si>
  <si>
    <t>5.</t>
  </si>
  <si>
    <t>6.</t>
  </si>
  <si>
    <t>.</t>
  </si>
  <si>
    <t>7.</t>
  </si>
  <si>
    <t>8.</t>
  </si>
  <si>
    <t>9.</t>
  </si>
  <si>
    <t>*</t>
  </si>
  <si>
    <t>Técnicas de Medición Económica</t>
  </si>
  <si>
    <t>INDICADORES DE POBLACIÓN</t>
  </si>
  <si>
    <t>Capítulo 1</t>
  </si>
  <si>
    <t xml:space="preserve">Capítulo 1 </t>
  </si>
  <si>
    <t>Ejercicio 1.1</t>
  </si>
  <si>
    <t>Respuesta 1.1</t>
  </si>
  <si>
    <t>Ejercicio 1.2</t>
  </si>
  <si>
    <t>Respuesta 1.2</t>
  </si>
  <si>
    <t>Ejercicio 1.3</t>
  </si>
  <si>
    <t>Respuesta 1.3</t>
  </si>
  <si>
    <t>Ejercicio 1.4</t>
  </si>
  <si>
    <t>Respuesta 1.4</t>
  </si>
  <si>
    <t>Ejercicio 1.5</t>
  </si>
  <si>
    <t>Ejercicio 1.6</t>
  </si>
  <si>
    <t>Ejercicio 1.7</t>
  </si>
  <si>
    <t>Respuesta 1.7</t>
  </si>
  <si>
    <t>Ejercicio 1.8</t>
  </si>
  <si>
    <t>Respuesta 1.8</t>
  </si>
  <si>
    <t>Cuadro 1.A.1:</t>
  </si>
  <si>
    <t>Anexo - Cuadro 1.A.1</t>
  </si>
  <si>
    <t>Ir a respuesta 1.1</t>
  </si>
  <si>
    <t>Ir a respuesta 1.2</t>
  </si>
  <si>
    <t>Ir a respuesta 1.3</t>
  </si>
  <si>
    <t>Ir a respuesta 1.4</t>
  </si>
  <si>
    <t>Ir a respuesta 1.7</t>
  </si>
  <si>
    <t>Ir a respuesta 1.8</t>
  </si>
  <si>
    <t xml:space="preserve">¿A qué se deben los cambios en la tasa bruta de mortalidad cuando han permanecido inalteradas las tasas específicas de mortalidad?
</t>
  </si>
  <si>
    <t>A partir de los datos del siguiente cuadro calcule la tasa bruta de mortalidad en 1993.</t>
  </si>
  <si>
    <t>Rango de edad</t>
  </si>
  <si>
    <t>Población en 1993 (Hombres)</t>
  </si>
  <si>
    <r>
      <t xml:space="preserve">TEM </t>
    </r>
    <r>
      <rPr>
        <b/>
        <sz val="10"/>
        <rFont val="Times New Roman"/>
        <family val="1"/>
      </rPr>
      <t>por mil</t>
    </r>
  </si>
  <si>
    <t>Tasa de sobrevivencia</t>
  </si>
  <si>
    <t>Sobrevivientes en 1998</t>
  </si>
  <si>
    <t>Sobrevivientes en 2003</t>
  </si>
  <si>
    <t>(1)</t>
  </si>
  <si>
    <t>(2)</t>
  </si>
  <si>
    <t>(3)</t>
  </si>
  <si>
    <t>(5) = (2) * (4) del renglón anterior</t>
  </si>
  <si>
    <t>(6) = (5)*(4) del renglón anterior</t>
  </si>
  <si>
    <t>…</t>
  </si>
  <si>
    <t>30-34</t>
  </si>
  <si>
    <t>35-39</t>
  </si>
  <si>
    <t>40-45</t>
  </si>
  <si>
    <t>Grupos de edad</t>
  </si>
  <si>
    <t>Población en 1993*</t>
  </si>
  <si>
    <t>TEM                                     (por cada mil personas)</t>
  </si>
  <si>
    <t>Hombres (1)</t>
  </si>
  <si>
    <t>Mujeres (2)</t>
  </si>
  <si>
    <t>Hombres</t>
  </si>
  <si>
    <t>Mujeres</t>
  </si>
  <si>
    <t>Hombres (3)</t>
  </si>
  <si>
    <t>Mujeres (4)</t>
  </si>
  <si>
    <t>0- 4</t>
  </si>
  <si>
    <t>5-9</t>
  </si>
  <si>
    <t>10-14</t>
  </si>
  <si>
    <t>15-19</t>
  </si>
  <si>
    <t>20-24</t>
  </si>
  <si>
    <t>25-29</t>
  </si>
  <si>
    <t>40-44</t>
  </si>
  <si>
    <t>45-49</t>
  </si>
  <si>
    <t>50-54</t>
  </si>
  <si>
    <t>55-59</t>
  </si>
  <si>
    <t>60-64</t>
  </si>
  <si>
    <t>65-69</t>
  </si>
  <si>
    <t>70-74</t>
  </si>
  <si>
    <t>75-79</t>
  </si>
  <si>
    <t>80+</t>
  </si>
  <si>
    <t>Total</t>
  </si>
  <si>
    <r>
      <t xml:space="preserve">Fuente: DANE, Censo 1999. República de Colombia. Resumen Nacional. DANE y "Tablas de mortalidad 1985-2000". </t>
    </r>
    <r>
      <rPr>
        <i/>
        <sz val="8"/>
        <rFont val="Times New Roman"/>
        <family val="1"/>
      </rPr>
      <t xml:space="preserve">Boletín de estadísticas 469. </t>
    </r>
    <r>
      <rPr>
        <sz val="8"/>
        <rFont val="Times New Roman"/>
        <family val="1"/>
      </rPr>
      <t xml:space="preserve">Abril 1992. </t>
    </r>
  </si>
  <si>
    <t>*Miles de personas</t>
  </si>
  <si>
    <t>Población, mortalidad y fecundidad por edades en 1993</t>
  </si>
  <si>
    <t>¿Corresponde la expectativa de vida al nacer a la edad promedio de las defunciones de una población en un momento dado?</t>
  </si>
  <si>
    <t>¿Existe expectativa de vida para las personas que superan la edad promedio de una población?</t>
  </si>
  <si>
    <t>¿Es correcto afirmar que si la expectativa de quienes tienen hoy 20 años es vivir otros 50 años, dentro de 10 años será vivir los 40 restantes?</t>
  </si>
  <si>
    <t>Calcule la población masculina entre 40 y 44 años en 2003 (suponga que no hay movimientos migratorios).</t>
  </si>
  <si>
    <t>Resuelva nuevamente el ejercicio anterior teniendo en cuenta la mortalidad entre las mujeres.</t>
  </si>
  <si>
    <t>Utilice la respuesta del punto anterior para calcular la población masculina entre 5 y 9 años en 2003.</t>
  </si>
  <si>
    <t>Calcule la tasa de crecimiento geométrico y la tasa de crecimiento exponencial de la población con base en estos datos:</t>
  </si>
  <si>
    <t>¿Por qué razones pueden ser preferibles los métodos de proyección por componente a los métodos matemáticos?</t>
  </si>
  <si>
    <r>
      <t xml:space="preserve">Con base en una cohorte de 1,000 hombres de 50 años de edad y las </t>
    </r>
    <r>
      <rPr>
        <b/>
        <i/>
        <sz val="10"/>
        <rFont val="Times New Roman"/>
        <family val="1"/>
      </rPr>
      <t>TEM</t>
    </r>
    <r>
      <rPr>
        <b/>
        <sz val="10"/>
        <rFont val="Times New Roman"/>
        <family val="1"/>
      </rPr>
      <t xml:space="preserve"> de la tabla anterior, calcule su expectativa de vida restante (suponga que quienes llegan a los 95 años de edad, mueren en promedio a las 97.5 años de vida).</t>
    </r>
  </si>
  <si>
    <t>Ir a respuesta 1.10</t>
  </si>
  <si>
    <t>Ir a respuesta 1.11</t>
  </si>
  <si>
    <t>Ir a respuesta 1.12</t>
  </si>
  <si>
    <t>Ir a respuesta 1.13</t>
  </si>
  <si>
    <t>Ir a respuesta 1.14</t>
  </si>
  <si>
    <t>Ejercicio 1.9</t>
  </si>
  <si>
    <t>Ejercicio 1.10</t>
  </si>
  <si>
    <t>Respuesta 1.10</t>
  </si>
  <si>
    <t>Ejercicio 1.11</t>
  </si>
  <si>
    <t>Respuesta 1.11</t>
  </si>
  <si>
    <t>Ejercicio 1.12</t>
  </si>
  <si>
    <t>Respuesta 1.12</t>
  </si>
  <si>
    <t>Ejercicio 1.13</t>
  </si>
  <si>
    <t>Respuesta 1.13</t>
  </si>
  <si>
    <t>Ejercicio 1.14</t>
  </si>
  <si>
    <t>Respuesta 1.14</t>
  </si>
  <si>
    <t>Ejercicio 1.15</t>
  </si>
  <si>
    <t>A cambios en la distribución de la población por edades</t>
  </si>
  <si>
    <t>TBM =</t>
  </si>
  <si>
    <t>(1) x (3)</t>
  </si>
  <si>
    <t>(2) x (4)</t>
  </si>
  <si>
    <r>
      <t xml:space="preserve">La sumatoria del producto de las columnas (1) y (3) más la sumatoria del producto de las columnas (2) y (4) dividido por el total de la población de ambos sexos (puesto que las </t>
    </r>
    <r>
      <rPr>
        <b/>
        <i/>
        <sz val="10"/>
        <rFont val="Times New Roman"/>
        <family val="1"/>
      </rPr>
      <t>TEM</t>
    </r>
    <r>
      <rPr>
        <b/>
        <sz val="10"/>
        <rFont val="Times New Roman"/>
        <family val="1"/>
      </rPr>
      <t xml:space="preserve"> están expresadas por cada mil personas, la </t>
    </r>
    <r>
      <rPr>
        <b/>
        <i/>
        <sz val="10"/>
        <rFont val="Times New Roman"/>
        <family val="1"/>
      </rPr>
      <t>TBM</t>
    </r>
    <r>
      <rPr>
        <b/>
        <sz val="10"/>
        <rFont val="Times New Roman"/>
        <family val="1"/>
      </rPr>
      <t xml:space="preserve"> se refiere también a muertes por cada mil personas de la población total):</t>
    </r>
  </si>
  <si>
    <t>1.1*</t>
  </si>
  <si>
    <t>1.2*</t>
  </si>
  <si>
    <t>(4)</t>
  </si>
  <si>
    <t>Rango de edad,</t>
  </si>
  <si>
    <t>Sobrevivientes al principio del período</t>
  </si>
  <si>
    <t>TEM</t>
  </si>
  <si>
    <t>Años-personas,</t>
  </si>
  <si>
    <t>(2) = (5) del período anterior</t>
  </si>
  <si>
    <t>(5) = (2) * (4)</t>
  </si>
  <si>
    <t>(6) = 2.5(2) + 2.5(5)</t>
  </si>
  <si>
    <t>Total años-personas de vida de la cohorte</t>
  </si>
  <si>
    <t>Por consiguiente la expectativa de vida adicional de quienes tienen 50 años es</t>
  </si>
  <si>
    <t>1.4*</t>
  </si>
  <si>
    <t>No. El promedio de defunciones es afectado por la distribución por edades; no así la expectativa de vida.</t>
  </si>
  <si>
    <t>1.7*</t>
  </si>
  <si>
    <t>(2)x(5)</t>
  </si>
  <si>
    <t>TBN=</t>
  </si>
  <si>
    <t>TFG=</t>
  </si>
  <si>
    <t>TFT=</t>
  </si>
  <si>
    <t>-</t>
  </si>
  <si>
    <t>(nacimientos por cada mil personas de la población total).</t>
  </si>
  <si>
    <t>La TFG compara los mismos nacimientos en un año con el total de mujeres entre los 15 y los 49 años (por mil).</t>
  </si>
  <si>
    <t>(nacimientos por cada 1.000 mujeres en edad de procrear).</t>
  </si>
  <si>
    <t>(hijos por mujer a lo largo de toda su vida procreativa).</t>
  </si>
  <si>
    <r>
      <t xml:space="preserve">La </t>
    </r>
    <r>
      <rPr>
        <b/>
        <i/>
        <sz val="10"/>
        <rFont val="Times New Roman"/>
        <family val="1"/>
      </rPr>
      <t>TBN</t>
    </r>
    <r>
      <rPr>
        <b/>
        <sz val="10"/>
        <rFont val="Times New Roman"/>
        <family val="1"/>
      </rPr>
      <t xml:space="preserve"> se obtiene por la sumatoria del producto de las columnas (2) y (5)  dividido por el total de la población de ambos sexos (y expresado por mil).</t>
    </r>
  </si>
  <si>
    <t>1.8*</t>
  </si>
  <si>
    <t>Año</t>
  </si>
  <si>
    <t>(por mil)</t>
  </si>
  <si>
    <t>Según estimación</t>
  </si>
  <si>
    <t>Período</t>
  </si>
  <si>
    <t>Estimación</t>
  </si>
  <si>
    <t>1938-1951</t>
  </si>
  <si>
    <t>1951-1964</t>
  </si>
  <si>
    <t>1960-1964</t>
  </si>
  <si>
    <t>1964-1969</t>
  </si>
  <si>
    <t>1964-1973</t>
  </si>
  <si>
    <t>1965-1966</t>
  </si>
  <si>
    <t>1967-1968</t>
  </si>
  <si>
    <t>1969-1972</t>
  </si>
  <si>
    <t>1969-1973</t>
  </si>
  <si>
    <t>1972-1973</t>
  </si>
  <si>
    <t>1975-1976</t>
  </si>
  <si>
    <t>1990-1995</t>
  </si>
  <si>
    <t>1995-2000</t>
  </si>
  <si>
    <t>2000-2005</t>
  </si>
  <si>
    <t>2005-2010</t>
  </si>
  <si>
    <t>2010-2015</t>
  </si>
  <si>
    <t>12 Tomado de DANE, Encuesta nacional de fecundidad, Colombia 1976, Resultados generales.</t>
  </si>
  <si>
    <t>(Número de nacimientos por año por cada mil mujeres en cada grupo de edad)</t>
  </si>
  <si>
    <t>Grupo de edad</t>
  </si>
  <si>
    <t>(Defunciones por año por cada mil personas en cada grupo de edad y sexo)</t>
  </si>
  <si>
    <t>Edad</t>
  </si>
  <si>
    <t xml:space="preserve"> </t>
  </si>
  <si>
    <t>Tasas medias anuales  de crecimiento (%)</t>
  </si>
  <si>
    <t>Tasas de reproducción</t>
  </si>
  <si>
    <t>Tasas de fecundidad</t>
  </si>
  <si>
    <t>Exponencial</t>
  </si>
  <si>
    <t>Geométrico</t>
  </si>
  <si>
    <t>Crecimiento Natural</t>
  </si>
  <si>
    <t>Natalidad Bruta</t>
  </si>
  <si>
    <t>Mortalidad Bruta</t>
  </si>
  <si>
    <t>Mortalidad infantil</t>
  </si>
  <si>
    <t>Migrantes netos</t>
  </si>
  <si>
    <t>Esperanza de vida al nacer</t>
  </si>
  <si>
    <t>Bruta</t>
  </si>
  <si>
    <t>Neta</t>
  </si>
  <si>
    <t>General</t>
  </si>
  <si>
    <t>1950-1955</t>
  </si>
  <si>
    <t>1955-1960</t>
  </si>
  <si>
    <t>1960-1965</t>
  </si>
  <si>
    <t>1965-1970</t>
  </si>
  <si>
    <t>1970-1975</t>
  </si>
  <si>
    <t>1975-1980</t>
  </si>
  <si>
    <t>1980-1985</t>
  </si>
  <si>
    <t>1985-1990</t>
  </si>
  <si>
    <t>2015-2020</t>
  </si>
  <si>
    <t>Proyección de la tasa bruta de natalidad/a  2000-2005</t>
  </si>
  <si>
    <t>Proyección de la tasa neta de migración/b  2000-2005</t>
  </si>
  <si>
    <t>Proyección de la tasa de crecimiento de la población 2000-2005</t>
  </si>
  <si>
    <t>Etapa I</t>
  </si>
  <si>
    <t>Bolivia</t>
  </si>
  <si>
    <t>Haiti</t>
  </si>
  <si>
    <t>Etapa II</t>
  </si>
  <si>
    <t>Belize</t>
  </si>
  <si>
    <t>Guatemala</t>
  </si>
  <si>
    <t>Honduras</t>
  </si>
  <si>
    <t>Nicaragua</t>
  </si>
  <si>
    <t>Paraguay</t>
  </si>
  <si>
    <t>Etapa III</t>
  </si>
  <si>
    <t>El Salvador</t>
  </si>
  <si>
    <t>Venezuela</t>
  </si>
  <si>
    <t>Ecuador</t>
  </si>
  <si>
    <t>Costa Rica</t>
  </si>
  <si>
    <t>Colombia</t>
  </si>
  <si>
    <t>Panama</t>
  </si>
  <si>
    <t>Etapa IV</t>
  </si>
  <si>
    <t>Bahamas</t>
  </si>
  <si>
    <t>Jamaica</t>
  </si>
  <si>
    <t>Trinidad and Tobago</t>
  </si>
  <si>
    <t>Chile</t>
  </si>
  <si>
    <t>Argentina</t>
  </si>
  <si>
    <t>Uruguay</t>
  </si>
  <si>
    <t>Barbados</t>
  </si>
  <si>
    <t>a El número de nacimientos vivos (o muertes) durante el año por cada 1.000 habitantes en al mitad de cada año</t>
  </si>
  <si>
    <t xml:space="preserve">b El número de inmigrantes menos el número de emigrantes durante el período, por cada 1.000 habitantes. </t>
  </si>
  <si>
    <t>c Proyecciones de la oferta de mano de obra para el año 2010 que se calcularon en una regresión ponderada de efectos fijos de las tasas de participación que surgen de las encuestas de hogares de 18 países entre 1990 y 2000 (el número de observaciones es 9</t>
  </si>
  <si>
    <t>En esta tabla sólo se han copiado los datos necesarios para proyectar un componente de la población, pero puede utilizarse para los demás grupos de edad nacidos hasta 1993. Con el objeto de proyectar los nacimientos a partir de 1993 véase el problema siguiente.</t>
  </si>
  <si>
    <t>Edades</t>
  </si>
  <si>
    <t>Mujeres en 1993</t>
  </si>
  <si>
    <t>Mujeres en 1994</t>
  </si>
  <si>
    <t>Mujeres en 1995</t>
  </si>
  <si>
    <t>Mujeres en 1996</t>
  </si>
  <si>
    <t>Mujeres en 1997</t>
  </si>
  <si>
    <t>Nacimientos en 1993</t>
  </si>
  <si>
    <t>Nacimientos en 1994</t>
  </si>
  <si>
    <t>Nacimientos en 1995</t>
  </si>
  <si>
    <t>Nacimientos en 1996</t>
  </si>
  <si>
    <t>Nacimientos en 1997</t>
  </si>
  <si>
    <t>Totales</t>
  </si>
  <si>
    <t>Niños</t>
  </si>
  <si>
    <t>Tasas de sobrevivencia</t>
  </si>
  <si>
    <t>1.14*</t>
  </si>
  <si>
    <t>Cuadro 1.A.2:</t>
  </si>
  <si>
    <t>Anexo - Cuadro 1.A.2</t>
  </si>
  <si>
    <t>Anexo - Cuadro 1.A.3</t>
  </si>
  <si>
    <t>Anexo - Cuadro 1.A.4</t>
  </si>
  <si>
    <t>Anexo - Cuadro 1.A.5</t>
  </si>
  <si>
    <t>Anexo - Cuadro 1.A.6</t>
  </si>
  <si>
    <t>Cuadro 1.A.3:</t>
  </si>
  <si>
    <t>Cuadro 1.A.4:</t>
  </si>
  <si>
    <t>Cuadro 1.A.5:</t>
  </si>
  <si>
    <t>Cuadro 1.A.6:</t>
  </si>
  <si>
    <t>Evolución de las tasas fecundidas específicas 1950 - 2015</t>
  </si>
  <si>
    <t>Evolución de los principales indicadores demografícos 1910 - 1993</t>
  </si>
  <si>
    <t>Población colombiana según censos 1905 – 1993</t>
  </si>
  <si>
    <t>Según Censo</t>
  </si>
  <si>
    <t>Población                       (miles)</t>
  </si>
  <si>
    <t>Evolución histórica y proyecciones de los principales indicadores demográficos</t>
  </si>
  <si>
    <t>Evolución de las tasas específicas de mortalidad: 1964 – 1976 – 1985 - 1993</t>
  </si>
  <si>
    <t>Evolución histórica y proyecciones de los principales indicadores demográficos 1950-2050</t>
  </si>
  <si>
    <r>
      <t>Proyección de la tasa bruta de mortalidad/</t>
    </r>
    <r>
      <rPr>
        <b/>
        <sz val="8"/>
        <rFont val="Times New Roman"/>
        <family val="1"/>
      </rPr>
      <t>a  2000-2005</t>
    </r>
  </si>
  <si>
    <t>Perú</t>
  </si>
  <si>
    <t>México</t>
  </si>
  <si>
    <t>Republica Dominicana</t>
  </si>
  <si>
    <t>Brasil</t>
  </si>
  <si>
    <t xml:space="preserve">Nota:  La tasa bruta de mortalidad puede incrementarse en la etapa IV debido al crecimiento de la población vieja. Por ejemplo, en 1995 el porcentaje de población mayor de 60 años fue superior al 10% en Argentina, Uruguay y Barbados, y de estos países la </t>
  </si>
  <si>
    <t>Transición demográfica en América Latina y el Caribe, 2000-2010</t>
  </si>
  <si>
    <t xml:space="preserve">Tasas </t>
  </si>
  <si>
    <r>
      <t>Arriaga</t>
    </r>
    <r>
      <rPr>
        <b/>
        <vertAlign val="superscript"/>
        <sz val="10"/>
        <rFont val="Times New Roman"/>
        <family val="1"/>
      </rPr>
      <t>1</t>
    </r>
  </si>
  <si>
    <r>
      <t>Arriaga</t>
    </r>
    <r>
      <rPr>
        <b/>
        <vertAlign val="superscript"/>
        <sz val="10"/>
        <rFont val="Times New Roman"/>
        <family val="1"/>
      </rPr>
      <t>2</t>
    </r>
  </si>
  <si>
    <r>
      <t>López Toro</t>
    </r>
    <r>
      <rPr>
        <b/>
        <vertAlign val="superscript"/>
        <sz val="10"/>
        <rFont val="Times New Roman"/>
        <family val="1"/>
      </rPr>
      <t>3</t>
    </r>
  </si>
  <si>
    <r>
      <t>Bourgeois</t>
    </r>
    <r>
      <rPr>
        <b/>
        <vertAlign val="superscript"/>
        <sz val="10"/>
        <rFont val="Times New Roman"/>
        <family val="1"/>
      </rPr>
      <t>4</t>
    </r>
  </si>
  <si>
    <r>
      <t>Arévalo</t>
    </r>
    <r>
      <rPr>
        <b/>
        <vertAlign val="superscript"/>
        <sz val="10"/>
        <rFont val="Times New Roman"/>
        <family val="1"/>
      </rPr>
      <t>5</t>
    </r>
  </si>
  <si>
    <r>
      <t>Bayona</t>
    </r>
    <r>
      <rPr>
        <b/>
        <vertAlign val="superscript"/>
        <sz val="10"/>
        <rFont val="Times New Roman"/>
        <family val="1"/>
      </rPr>
      <t>6</t>
    </r>
  </si>
  <si>
    <r>
      <t>Elkins</t>
    </r>
    <r>
      <rPr>
        <b/>
        <vertAlign val="superscript"/>
        <sz val="10"/>
        <rFont val="Times New Roman"/>
        <family val="1"/>
      </rPr>
      <t>7</t>
    </r>
  </si>
  <si>
    <r>
      <t>Arriaga</t>
    </r>
    <r>
      <rPr>
        <b/>
        <vertAlign val="superscript"/>
        <sz val="10"/>
        <rFont val="Times New Roman"/>
        <family val="1"/>
      </rPr>
      <t>8</t>
    </r>
  </si>
  <si>
    <r>
      <t>Potter y Ordóñez</t>
    </r>
    <r>
      <rPr>
        <b/>
        <vertAlign val="superscript"/>
        <sz val="10"/>
        <rFont val="Times New Roman"/>
        <family val="1"/>
      </rPr>
      <t>9</t>
    </r>
  </si>
  <si>
    <r>
      <t xml:space="preserve">Potter/Ordóñez/Measham </t>
    </r>
    <r>
      <rPr>
        <b/>
        <vertAlign val="superscript"/>
        <sz val="10"/>
        <rFont val="Times New Roman"/>
        <family val="1"/>
      </rPr>
      <t>10</t>
    </r>
  </si>
  <si>
    <r>
      <t>Inas/Ascofame</t>
    </r>
    <r>
      <rPr>
        <b/>
        <vertAlign val="superscript"/>
        <sz val="10"/>
        <rFont val="Times New Roman"/>
        <family val="1"/>
      </rPr>
      <t>11</t>
    </r>
  </si>
  <si>
    <r>
      <t>Prada,Bailey</t>
    </r>
    <r>
      <rPr>
        <b/>
        <vertAlign val="superscript"/>
        <sz val="10"/>
        <rFont val="Times New Roman"/>
        <family val="1"/>
      </rPr>
      <t>12</t>
    </r>
  </si>
  <si>
    <r>
      <t>Arriaga</t>
    </r>
    <r>
      <rPr>
        <b/>
        <vertAlign val="superscript"/>
        <sz val="10"/>
        <rFont val="Times New Roman"/>
        <family val="1"/>
      </rPr>
      <t>13</t>
    </r>
  </si>
  <si>
    <r>
      <t>DANE</t>
    </r>
    <r>
      <rPr>
        <b/>
        <vertAlign val="superscript"/>
        <sz val="10"/>
        <rFont val="Times New Roman"/>
        <family val="1"/>
      </rPr>
      <t>14</t>
    </r>
  </si>
  <si>
    <r>
      <t>DANE</t>
    </r>
    <r>
      <rPr>
        <b/>
        <vertAlign val="superscript"/>
        <sz val="10"/>
        <rFont val="Times New Roman"/>
        <family val="1"/>
      </rPr>
      <t>15</t>
    </r>
  </si>
  <si>
    <r>
      <t>DANE</t>
    </r>
    <r>
      <rPr>
        <b/>
        <vertAlign val="superscript"/>
        <sz val="10"/>
        <rFont val="Times New Roman"/>
        <family val="1"/>
      </rPr>
      <t>16</t>
    </r>
  </si>
  <si>
    <r>
      <t xml:space="preserve">DANE </t>
    </r>
    <r>
      <rPr>
        <b/>
        <vertAlign val="superscript"/>
        <sz val="10"/>
        <rFont val="Times New Roman"/>
        <family val="1"/>
      </rPr>
      <t>17</t>
    </r>
  </si>
  <si>
    <t>4/ J. Bourgeois Pichat, Uso de la noción de publicación estable para medir cambios en la natalidad, Santiago de Hile, Celade.</t>
  </si>
  <si>
    <t>5/ J. Arévalo, Ajuste del censo de población de 1964: Colombia. Santiago de Chile, Celade, 1968.</t>
  </si>
  <si>
    <t xml:space="preserve"> 6/ A. Bayona, “Colombia: El nivel de la mortalidad en el período 1951-1964”, DANE, Boletín Mensual de estadística, No. 224, 1971. </t>
  </si>
  <si>
    <t xml:space="preserve">7/ H. Elkins, “Cambio de fecundidad”, en Heredia y Prada, la fecundidad en Colombia, Asociación Colombiana de Facultades de Medicina, 1973. </t>
  </si>
  <si>
    <t xml:space="preserve">8/ E. Arriaga , DNP, Plan de Integración Nacional, tomo II, p. 31. </t>
  </si>
  <si>
    <t xml:space="preserve">9/ Potter y Ordóñez, “The completeness or enumeration in the 1973 census of the population of Colombia”, en Population Index, Vol. 42, No. 3, Julio 1976. </t>
  </si>
  <si>
    <t xml:space="preserve">10/ Potter, Ordóñez, Measham, “El rápido descenso de la fecundidad en Colombia”, En Estudios de Población, Vol II (1), 1977. </t>
  </si>
  <si>
    <t xml:space="preserve">11/ República de Colombia, Ministerio de Salud, INAS, Ascofame, La mortalidad en Colombia: 1970-1982, Vol. I: Niveles ajustados de mortalidad por secciones del país, Bogotá, 1982, p.47. </t>
  </si>
  <si>
    <t xml:space="preserve">12/ Prada, Bailey, “Fertility trends in Colombia: Something important has happened”; trabajo presentado en la reunión de Population Asociation of America, 1977, St. Louis, Mo. </t>
  </si>
  <si>
    <t>13/ DANE, “La fecundad en Colombia en 1978, ENH 19”, Boletín Mensual de estadística, No. 325.</t>
  </si>
  <si>
    <t>(hijas por mujer a lo largo de toda su vida procreativa).</t>
  </si>
  <si>
    <r>
      <t xml:space="preserve">La tasa de crecimiento geométrico se calcula despejando </t>
    </r>
    <r>
      <rPr>
        <b/>
        <i/>
        <sz val="10"/>
        <rFont val="Times New Roman"/>
        <family val="1"/>
      </rPr>
      <t>r</t>
    </r>
    <r>
      <rPr>
        <b/>
        <sz val="10"/>
        <rFont val="Times New Roman"/>
        <family val="1"/>
      </rPr>
      <t xml:space="preserve"> en la siguiente ecuación:</t>
    </r>
  </si>
  <si>
    <r>
      <t xml:space="preserve">La tasa de crecimiento exponencial se obtiene encontrando </t>
    </r>
    <r>
      <rPr>
        <b/>
        <i/>
        <sz val="10"/>
        <rFont val="Times New Roman"/>
        <family val="1"/>
      </rPr>
      <t>g</t>
    </r>
    <r>
      <rPr>
        <b/>
        <sz val="10"/>
        <rFont val="Times New Roman"/>
        <family val="1"/>
      </rPr>
      <t xml:space="preserve"> en</t>
    </r>
  </si>
  <si>
    <r>
      <t xml:space="preserve">donde </t>
    </r>
    <r>
      <rPr>
        <i/>
        <sz val="10"/>
        <rFont val="Times New Roman"/>
        <family val="1"/>
      </rPr>
      <t xml:space="preserve">e </t>
    </r>
    <r>
      <rPr>
        <sz val="10"/>
        <rFont val="Times New Roman"/>
        <family val="1"/>
      </rPr>
      <t>constituye la base de los números naturales</t>
    </r>
  </si>
  <si>
    <r>
      <t xml:space="preserve">Tomando logaritmos naturales (base </t>
    </r>
    <r>
      <rPr>
        <i/>
        <sz val="10"/>
        <rFont val="Times New Roman"/>
        <family val="1"/>
      </rPr>
      <t>e</t>
    </r>
    <r>
      <rPr>
        <sz val="10"/>
        <rFont val="Times New Roman"/>
        <family val="1"/>
      </rPr>
      <t>)</t>
    </r>
  </si>
  <si>
    <t>El procedimiento consiste en proyectar primero las poblaciones femeninas en edad de procrear (por rangos de edad) cada año entre 1993 y 1997. Luego se calculan los nacimientos que tendrían esas mujeres cada año (por rangos de edad, aplicándoles sus respectivas tasas de fecundidad). Luego siguiendo el procedimiento del ejercicio 1.11 para descontar las defunciones de los niños. El resultado son 2.264.344 varones de 0-4 años en 1998 (note que el efecto de la mortalidad de las mujeres es muy pequeño).</t>
  </si>
  <si>
    <t>1.10*</t>
  </si>
  <si>
    <t>Tomando los datos del ejercicio anterior la respuesta sería</t>
  </si>
  <si>
    <t>(1.b)</t>
  </si>
  <si>
    <t>(1.a)</t>
  </si>
  <si>
    <r>
      <t xml:space="preserve">La </t>
    </r>
    <r>
      <rPr>
        <b/>
        <i/>
        <sz val="10"/>
        <rFont val="Times New Roman"/>
        <family val="1"/>
      </rPr>
      <t>TFT</t>
    </r>
    <r>
      <rPr>
        <b/>
        <sz val="10"/>
        <rFont val="Times New Roman"/>
        <family val="1"/>
      </rPr>
      <t xml:space="preserve"> es la sumatoria de las </t>
    </r>
    <r>
      <rPr>
        <b/>
        <i/>
        <sz val="10"/>
        <rFont val="Times New Roman"/>
        <family val="1"/>
      </rPr>
      <t>TEF</t>
    </r>
    <r>
      <rPr>
        <b/>
        <sz val="10"/>
        <rFont val="Times New Roman"/>
        <family val="1"/>
      </rPr>
      <t xml:space="preserve"> multiplicadas por 5 (puesto que cada una es válida para un rango de 5 años de edad) y dividida por mil (porque se refiere a cada mujer).</t>
    </r>
  </si>
  <si>
    <t>Suponiendo que por cada 1,000 nacimientos 497 son mujeres, calcule ahora la tasa bruta de reproducción.</t>
  </si>
  <si>
    <t>Con base en una cohorte de 1,000 mujeres recién nacidas y las tasas específicas de mortalidad hasta que lleguen a la edad de 50 años, calcule la tasa neta de reproducción.</t>
  </si>
  <si>
    <t>Tasa de sobrevivencia anual</t>
  </si>
  <si>
    <t>Tasa de sobrevivencia en 5 años</t>
  </si>
  <si>
    <t>Calcule la población masculina entre 0 y 4 años en 1998 (suponga que no hay mortalidad entre mujeres en edad procreativa pero sí entre los recién nacidos cada año, y que de cada 1,000 nacimientos 503 son varones). ¿Qué crítica le haría usted a este método de proyección (aparte de estos supuestos mencionados)?</t>
  </si>
  <si>
    <t>Nacimientos cada año</t>
  </si>
  <si>
    <t>Tasa de mortalidad</t>
  </si>
  <si>
    <t>Varones nacidos el primer año, que sobreviven en 1998</t>
  </si>
  <si>
    <t>Varones nacidos el segundo año, que sobreviven en 1998</t>
  </si>
  <si>
    <t>Varones nacidos el tercer año, que sobreviven en 1998</t>
  </si>
  <si>
    <t>Varones nacidos el cuarto año, que sobreviven en 1998</t>
  </si>
  <si>
    <t>Varones nacidos el quinto año, que sobreviven en 1998</t>
  </si>
  <si>
    <t>Total de sobrevivientes en 1998</t>
  </si>
  <si>
    <t>Este método es bastante burdo, puesto que las tasas de mortalidad específicas para los primeros años de vida no son uniformes. Deberíamos usar una tasa de mortalidad para cada año de vida. Deberíamos además tener en cuenta que la mortalidad ocurre a lo largo del año de tal forma que, por ejemplo, no todos los que nacieron en 1998 sobreviven hasta el final de 1998.</t>
  </si>
  <si>
    <t>Población total en 1973: 22,776,000</t>
  </si>
  <si>
    <t>Población total en 1993: 33,109,840</t>
  </si>
  <si>
    <t>Según censo</t>
  </si>
  <si>
    <t>Tasa bruta de natalidad</t>
  </si>
  <si>
    <t>Tasa bruta de mortalidad</t>
  </si>
  <si>
    <t>Tasa de fecundidad total</t>
  </si>
  <si>
    <t>Expectativa de vida</t>
  </si>
  <si>
    <t>Tasa de fecundidad general</t>
  </si>
  <si>
    <t>Proyección del crecimiento de la fuerza laboral/c          2000-2010</t>
  </si>
  <si>
    <r>
      <t xml:space="preserve">Fuente: Naciones Unidas, Base de datos de la división de población, 2002 y cálculos del BID. (Tomado de </t>
    </r>
    <r>
      <rPr>
        <i/>
        <sz val="7"/>
        <rFont val="Times New Roman"/>
        <family val="1"/>
      </rPr>
      <t>Se Buscan Buenos Empleos, Informe de Progreso Económico y Social</t>
    </r>
    <r>
      <rPr>
        <sz val="7"/>
        <rFont val="Times New Roman"/>
        <family val="1"/>
      </rPr>
      <t>, 2004.</t>
    </r>
  </si>
  <si>
    <t>País y etapa de transición demográfica</t>
  </si>
  <si>
    <t>Respuestas</t>
  </si>
  <si>
    <t>Volver a ejercicios</t>
  </si>
  <si>
    <t>Bibliografía y fuentes estadísticas (con hipervínculos)</t>
  </si>
  <si>
    <t>Bibliografía y fuentes estadísticas</t>
  </si>
  <si>
    <t>Conceptos básicos y metodología</t>
  </si>
  <si>
    <r>
      <t xml:space="preserve">Preston, Samuel H., Patrick Heuveline y Michel Guillot, </t>
    </r>
    <r>
      <rPr>
        <i/>
        <sz val="10"/>
        <rFont val="Times New Roman"/>
        <family val="1"/>
      </rPr>
      <t>Demography. Measuring and Modeling Population Processes</t>
    </r>
    <r>
      <rPr>
        <sz val="10"/>
        <rFont val="Times New Roman"/>
        <family val="1"/>
      </rPr>
      <t>. Blackwell Publishers, 2001. Muy didáctico, es uno de los textos de introducción a los métodos de medición demográfica más utilizados actualmente.</t>
    </r>
  </si>
  <si>
    <r>
      <t xml:space="preserve">Shryock, Henry y Siegel, Jacob S. and Associates, </t>
    </r>
    <r>
      <rPr>
        <i/>
        <sz val="10"/>
        <rFont val="Times New Roman"/>
        <family val="1"/>
      </rPr>
      <t xml:space="preserve">The Methods and Materials of Demography, </t>
    </r>
    <r>
      <rPr>
        <sz val="10"/>
        <rFont val="Times New Roman"/>
        <family val="1"/>
      </rPr>
      <t xml:space="preserve">condensed edition by Edward G. Stockwell, Academic Press, 1976. Texto clásico de demografía; detallado y técnico. </t>
    </r>
  </si>
  <si>
    <t xml:space="preserve">Estudios destacados </t>
  </si>
  <si>
    <r>
      <t xml:space="preserve">Flórez N., Carmen Elisa, </t>
    </r>
    <r>
      <rPr>
        <i/>
        <sz val="10"/>
        <rFont val="Times New Roman"/>
        <family val="1"/>
      </rPr>
      <t>Las Transformaciones Sociodemográficas en Colombia Durante el Siglo XX.</t>
    </r>
    <r>
      <rPr>
        <sz val="10"/>
        <rFont val="Times New Roman"/>
        <family val="1"/>
      </rPr>
      <t xml:space="preserve"> Banco de la República-TM Editores, 2000. Un excelente trabajo descriptivo, en el cual se ofrece una visión integrada de los cambios demográficos, laborales y sociales a los largo del siglo XX.</t>
    </r>
  </si>
  <si>
    <t>Fuentes de información estadística</t>
  </si>
  <si>
    <t>14/ DANE</t>
  </si>
  <si>
    <r>
      <t>Fuente: Datos censales según DANE, Colombia Estadística 1986 y 1998-2000. “</t>
    </r>
    <r>
      <rPr>
        <i/>
        <sz val="7"/>
        <rFont val="Times New Roman"/>
        <family val="1"/>
      </rPr>
      <t>La población en Colombia a partir del censo 1985</t>
    </r>
    <r>
      <rPr>
        <sz val="7"/>
        <rFont val="Times New Roman"/>
        <family val="1"/>
      </rPr>
      <t xml:space="preserve">”, en Boletín Mensual de estadística No. 437 agosto 1989. Las estimaciones no oficiales son de Álvaro López, Análisis demográfico de los censos colombianos 1951-64, CEDE; y J. E. Potter, “The Completeness of enumeration in the 1973 census of population of Colombia”, </t>
    </r>
    <r>
      <rPr>
        <i/>
        <sz val="7"/>
        <rFont val="Times New Roman"/>
        <family val="1"/>
      </rPr>
      <t>Population Index</t>
    </r>
    <r>
      <rPr>
        <sz val="7"/>
        <rFont val="Times New Roman"/>
        <family val="1"/>
      </rPr>
      <t>, Vol. 42 No. 3 julio de 1976. Las tasas intercensales desde 1973 son calculadas suponiendo que todos los censos ocurrieron a mitad de año.</t>
    </r>
  </si>
  <si>
    <r>
      <t xml:space="preserve">1, 3, 4, 5 y 9 tomado de R. Junguito “La población colombiana en la década de los ochenta”, en Fedesarrollo, </t>
    </r>
    <r>
      <rPr>
        <i/>
        <sz val="8"/>
        <rFont val="Times New Roman"/>
        <family val="1"/>
      </rPr>
      <t>La economía colombiana en la década de los ochenta</t>
    </r>
    <r>
      <rPr>
        <sz val="8"/>
        <rFont val="Times New Roman"/>
        <family val="1"/>
      </rPr>
      <t>, Bogotá, 1979.</t>
    </r>
  </si>
  <si>
    <r>
      <t xml:space="preserve">2, 8, 11 y 13 tomado de J. Vivas, H. Gómez y C. Caballero, </t>
    </r>
    <r>
      <rPr>
        <i/>
        <sz val="8"/>
        <rFont val="Times New Roman"/>
        <family val="1"/>
      </rPr>
      <t>Desarrollo social en la década del 70</t>
    </r>
    <r>
      <rPr>
        <sz val="8"/>
        <rFont val="Times New Roman"/>
        <family val="1"/>
      </rPr>
      <t>, Fedesarrollo, DNP y UNICEF.</t>
    </r>
  </si>
  <si>
    <r>
      <t>E</t>
    </r>
    <r>
      <rPr>
        <b/>
        <i/>
        <vertAlign val="subscript"/>
        <sz val="10"/>
        <rFont val="Times New Roman"/>
        <family val="1"/>
      </rPr>
      <t xml:space="preserve"> i</t>
    </r>
    <r>
      <rPr>
        <b/>
        <vertAlign val="subscript"/>
        <sz val="10"/>
        <rFont val="Times New Roman"/>
        <family val="1"/>
      </rPr>
      <t xml:space="preserve">-1 </t>
    </r>
  </si>
  <si>
    <r>
      <t>E</t>
    </r>
    <r>
      <rPr>
        <b/>
        <i/>
        <vertAlign val="subscript"/>
        <sz val="10"/>
        <rFont val="Times New Roman"/>
        <family val="1"/>
      </rPr>
      <t xml:space="preserve"> i </t>
    </r>
  </si>
  <si>
    <r>
      <t xml:space="preserve"> </t>
    </r>
    <r>
      <rPr>
        <b/>
        <i/>
        <sz val="10"/>
        <rFont val="Times New Roman"/>
        <family val="1"/>
      </rPr>
      <t>Ii</t>
    </r>
    <r>
      <rPr>
        <b/>
        <sz val="10"/>
        <rFont val="Times New Roman"/>
        <family val="1"/>
      </rPr>
      <t>-</t>
    </r>
    <r>
      <rPr>
        <b/>
        <sz val="8"/>
        <rFont val="Times New Roman"/>
        <family val="1"/>
      </rPr>
      <t>1</t>
    </r>
  </si>
  <si>
    <r>
      <t xml:space="preserve">Sobrevivientes al final del período </t>
    </r>
    <r>
      <rPr>
        <b/>
        <i/>
        <sz val="10"/>
        <rFont val="Times New Roman"/>
        <family val="1"/>
      </rPr>
      <t>Ii</t>
    </r>
  </si>
  <si>
    <r>
      <t>Li</t>
    </r>
    <r>
      <rPr>
        <b/>
        <sz val="10"/>
        <rFont val="Times New Roman"/>
        <family val="1"/>
      </rPr>
      <t xml:space="preserve"> = 2.5</t>
    </r>
    <r>
      <rPr>
        <b/>
        <i/>
        <sz val="10"/>
        <rFont val="Times New Roman"/>
        <family val="1"/>
      </rPr>
      <t xml:space="preserve"> Ii</t>
    </r>
    <r>
      <rPr>
        <b/>
        <sz val="10"/>
        <rFont val="Times New Roman"/>
        <family val="1"/>
      </rPr>
      <t>-</t>
    </r>
    <r>
      <rPr>
        <b/>
        <sz val="8"/>
        <rFont val="Times New Roman"/>
        <family val="1"/>
      </rPr>
      <t>1</t>
    </r>
    <r>
      <rPr>
        <b/>
        <sz val="10"/>
        <rFont val="Times New Roman"/>
        <family val="1"/>
      </rPr>
      <t xml:space="preserve"> + 2.5 </t>
    </r>
    <r>
      <rPr>
        <b/>
        <i/>
        <sz val="10"/>
        <rFont val="Times New Roman"/>
        <family val="1"/>
      </rPr>
      <t>Ii</t>
    </r>
  </si>
  <si>
    <r>
      <t>La misma</t>
    </r>
    <r>
      <rPr>
        <b/>
        <i/>
        <sz val="10"/>
        <rFont val="Times New Roman"/>
        <family val="1"/>
      </rPr>
      <t xml:space="preserve"> TFT</t>
    </r>
    <r>
      <rPr>
        <b/>
        <sz val="10"/>
        <rFont val="Times New Roman"/>
        <family val="1"/>
      </rPr>
      <t xml:space="preserve"> ajustada por la proporción de nacimientos de mujeres en el total</t>
    </r>
  </si>
  <si>
    <r>
      <t>(4) = (1-</t>
    </r>
    <r>
      <rPr>
        <b/>
        <i/>
        <sz val="9"/>
        <rFont val="Times New Roman"/>
        <family val="1"/>
      </rPr>
      <t>TEM</t>
    </r>
    <r>
      <rPr>
        <b/>
        <sz val="9"/>
        <rFont val="Times New Roman"/>
        <family val="1"/>
      </rPr>
      <t>)^5</t>
    </r>
  </si>
  <si>
    <r>
      <t>TEF</t>
    </r>
    <r>
      <rPr>
        <b/>
        <i/>
        <vertAlign val="subscript"/>
        <sz val="10"/>
        <rFont val="Times New Roman"/>
        <family val="1"/>
      </rPr>
      <t>i</t>
    </r>
  </si>
  <si>
    <r>
      <t>TEM</t>
    </r>
    <r>
      <rPr>
        <b/>
        <i/>
        <vertAlign val="subscript"/>
        <sz val="10"/>
        <rFont val="Times New Roman"/>
        <family val="1"/>
      </rPr>
      <t>i</t>
    </r>
    <r>
      <rPr>
        <b/>
        <sz val="10"/>
        <rFont val="Times New Roman"/>
        <family val="1"/>
      </rPr>
      <t xml:space="preserve"> hombres</t>
    </r>
  </si>
  <si>
    <r>
      <t>TEM</t>
    </r>
    <r>
      <rPr>
        <b/>
        <i/>
        <vertAlign val="subscript"/>
        <sz val="10"/>
        <rFont val="Times New Roman"/>
        <family val="1"/>
      </rPr>
      <t>i</t>
    </r>
    <r>
      <rPr>
        <b/>
        <sz val="10"/>
        <rFont val="Times New Roman"/>
        <family val="1"/>
      </rPr>
      <t xml:space="preserve"> mujeres</t>
    </r>
  </si>
  <si>
    <t>Tasa de crecimiento intercensal                             (por mil)</t>
  </si>
  <si>
    <t>TFE (5)</t>
  </si>
  <si>
    <t>WEB</t>
  </si>
  <si>
    <t>Utilizando la información del ejercicio 1.2 calcule ahora la tasa bruta de natalidad, la tasa de fecundidad general y la tasa de fecundidad total.</t>
  </si>
  <si>
    <r>
      <t>1.3</t>
    </r>
    <r>
      <rPr>
        <b/>
        <vertAlign val="superscript"/>
        <sz val="10"/>
        <color indexed="8"/>
        <rFont val="Times New Roman"/>
        <family val="1"/>
      </rPr>
      <t>WEB</t>
    </r>
  </si>
  <si>
    <r>
      <t>1.11</t>
    </r>
    <r>
      <rPr>
        <b/>
        <vertAlign val="superscript"/>
        <sz val="10"/>
        <rFont val="Times New Roman"/>
        <family val="1"/>
      </rPr>
      <t>WEB</t>
    </r>
  </si>
  <si>
    <r>
      <t>1.12</t>
    </r>
    <r>
      <rPr>
        <b/>
        <vertAlign val="superscript"/>
        <sz val="10"/>
        <rFont val="Times New Roman"/>
        <family val="1"/>
      </rPr>
      <t>WEB</t>
    </r>
  </si>
  <si>
    <r>
      <t>1.13</t>
    </r>
    <r>
      <rPr>
        <b/>
        <vertAlign val="superscript"/>
        <sz val="10"/>
        <rFont val="Times New Roman"/>
        <family val="1"/>
      </rPr>
      <t>WEB</t>
    </r>
  </si>
  <si>
    <t>Población colombiana según censos 1905 – 2005</t>
  </si>
  <si>
    <t>2000 - 2005</t>
  </si>
  <si>
    <t>2005 - 2010</t>
  </si>
  <si>
    <t>2010 - 2015</t>
  </si>
  <si>
    <t>2015 - 2020</t>
  </si>
  <si>
    <r>
      <t>DANE</t>
    </r>
    <r>
      <rPr>
        <b/>
        <vertAlign val="superscript"/>
        <sz val="10"/>
        <rFont val="Times New Roman"/>
        <family val="1"/>
      </rPr>
      <t>18</t>
    </r>
  </si>
  <si>
    <t>18/ DANE, "Indicadores demográficos según departamento 1985-2020".Conciliación Censal 1985-2005 y Proyecciones de Población 2005-2020. Censo 2005.</t>
  </si>
  <si>
    <t>Evolución de las tasas específicas de mortalidad: 1964 – 1973 – 1985 – 1993 – 2005</t>
  </si>
  <si>
    <t>Fuente: 1954 y 1973: A. Bayona, “La medida de la mortalidad en Colombia”, Universidad Javeriana, Facultad de Estudios Interdisciplinarios, 1977. 1985: C, Martínez y G. Escobar, “Colombia: Proyecciones nacionales de población. 1950-2025, DANE-DNP, Bogotá. Tablas de mortalidad 1985-2000”. Boletín de Estadística 469. Abril 1992. DANE. 2005: "Conciliación censal 1985 - 2005. Colombia. Estimación de la mortalidad 1985 - 2005.", Censo de 2005, DANE. Las cifras para el año 2005 corresponden a tasas centrales de mortalidad para lustros de edades.</t>
  </si>
  <si>
    <t>Fuente:  1950 - 2005:  Proyecciones quinquenales de población por sexo y edad. 1950 -2050.  Serie Estudios Censales, julio de 1998.  2005 - 2020:  Proyecciones nacionales y departamentales de población 2006 - 2020. Censo de 2005. Anexo 1.3</t>
  </si>
  <si>
    <t>1950 – 2020</t>
  </si>
  <si>
    <t>Evolución de los principales indicadores demográficos 1910 - 2020</t>
  </si>
  <si>
    <t>Evolución de las tasas de fecundidad específicas 1985 - 2020</t>
  </si>
  <si>
    <t>Fuente: "Colombia, Estimaciones de la Fecundidad. 1985-2005 y Proyecciones 2005-2020. Nacionales y Departamentales." Censo de 2005. DANE.</t>
  </si>
  <si>
    <r>
      <t xml:space="preserve">Naciones Unidas. </t>
    </r>
    <r>
      <rPr>
        <b/>
        <u val="single"/>
        <sz val="10"/>
        <color indexed="12"/>
        <rFont val="Times New Roman"/>
        <family val="1"/>
      </rPr>
      <t>http://esa.un.org/unpp/Glossary.html</t>
    </r>
    <r>
      <rPr>
        <sz val="10"/>
        <rFont val="Times New Roman"/>
        <family val="1"/>
      </rPr>
      <t>. Explica los conceptos demográficos que se utilizan internacionalmente.</t>
    </r>
  </si>
  <si>
    <r>
      <t xml:space="preserve">Banco Interamericano de Desarrollo, </t>
    </r>
    <r>
      <rPr>
        <i/>
        <sz val="10"/>
        <rFont val="Times New Roman"/>
        <family val="1"/>
      </rPr>
      <t>Desarrollo Más Allá de la Economía</t>
    </r>
    <r>
      <rPr>
        <sz val="10"/>
        <rFont val="Times New Roman"/>
        <family val="1"/>
      </rPr>
      <t xml:space="preserve">. Informe de Progreso Económico y Social, 2000. Washington, DC. El Capítulo 2 analiza la evolución y perspectivas demográficas de América Latina y discute los principales canales de influencia de la demografía en el desarrollo. Puede consultarse en línea en: </t>
    </r>
    <r>
      <rPr>
        <b/>
        <sz val="10"/>
        <color indexed="12"/>
        <rFont val="Times New Roman"/>
        <family val="1"/>
      </rPr>
      <t>http://www.iadb.org/res/publications/pubfiles/pubB-2001_5219.pdf</t>
    </r>
  </si>
  <si>
    <r>
      <t xml:space="preserve">DANE. Es la fuente oficial de las estadísticas demográficas en Colombia. La información en línea se encuentra en: </t>
    </r>
    <r>
      <rPr>
        <b/>
        <u val="single"/>
        <sz val="10"/>
        <color indexed="12"/>
        <rFont val="Times New Roman"/>
        <family val="1"/>
      </rPr>
      <t>http://www.dane.gov.co</t>
    </r>
  </si>
  <si>
    <r>
      <t xml:space="preserve">Naciones Unidas. </t>
    </r>
    <r>
      <rPr>
        <b/>
        <u val="single"/>
        <sz val="10"/>
        <color indexed="12"/>
        <rFont val="Times New Roman"/>
        <family val="1"/>
      </rPr>
      <t>http://esa.un.org/unpp</t>
    </r>
    <r>
      <rPr>
        <sz val="10"/>
        <rFont val="Times New Roman"/>
        <family val="1"/>
      </rPr>
      <t xml:space="preserve">. Contiene estadísticas históricas y proyecciones demográficas por períodos quinquenales para todos los países del mundo. </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</si>
</sst>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 #,##0.000_);_(* \(#,##0.000\);_(* &quot;-&quot;??_);_(@_)"/>
    <numFmt numFmtId="169" formatCode="_(* #,##0.0_);_(* \(#,##0.0\);_(* &quot;-&quot;??_);_(@_)"/>
    <numFmt numFmtId="170" formatCode="_(* #,##0_);_(* \(#,##0\);_(* &quot;-&quot;??_);_(@_)"/>
    <numFmt numFmtId="171" formatCode="_(* #,##0.0000_);_(* \(#,##0.0000\);_(* &quot;-&quot;??_);_(@_)"/>
    <numFmt numFmtId="172" formatCode="0.00000000"/>
    <numFmt numFmtId="173" formatCode="0.0000000"/>
    <numFmt numFmtId="174" formatCode="0.000000"/>
    <numFmt numFmtId="175" formatCode="0.00000"/>
    <numFmt numFmtId="176" formatCode="0.0000"/>
    <numFmt numFmtId="177" formatCode="0.000"/>
    <numFmt numFmtId="178" formatCode="0.000000000"/>
    <numFmt numFmtId="179" formatCode="0.0%"/>
    <numFmt numFmtId="180" formatCode="_ * #,##0.0000_ ;_ * \-#,##0.0000_ ;_ * &quot;-&quot;??_ ;_ @_ "/>
    <numFmt numFmtId="181" formatCode="_ * #,##0.0000_ ;_ * \-#,##0.0000_ ;_ * &quot;-&quot;????_ ;_ @_ "/>
    <numFmt numFmtId="182" formatCode="&quot;$&quot;\ #,##0;&quot;$&quot;\ \-#,##0"/>
    <numFmt numFmtId="183" formatCode="&quot;$&quot;\ #,##0;[Red]&quot;$&quot;\ \-#,##0"/>
    <numFmt numFmtId="184" formatCode="&quot;$&quot;\ #,##0.00;&quot;$&quot;\ \-#,##0.00"/>
    <numFmt numFmtId="185" formatCode="&quot;$&quot;\ #,##0.00;[Red]&quot;$&quot;\ \-#,##0.00"/>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_ * #,##0.0_ ;_ * \-#,##0.0_ ;_ * &quot;-&quot;??_ ;_ @_ "/>
    <numFmt numFmtId="191" formatCode="_ * #,##0.000_ ;_ * \-#,##0.000_ ;_ * &quot;-&quot;??_ ;_ @_ "/>
    <numFmt numFmtId="192" formatCode="&quot;Sí&quot;;&quot;Sí&quot;;&quot;No&quot;"/>
    <numFmt numFmtId="193" formatCode="&quot;Verdadero&quot;;&quot;Verdadero&quot;;&quot;Falso&quot;"/>
    <numFmt numFmtId="194" formatCode="&quot;Activado&quot;;&quot;Activado&quot;;&quot;Desactivado&quot;"/>
    <numFmt numFmtId="195" formatCode="_ * #,##0.00000_ ;_ * \-#,##0.00000_ ;_ * &quot;-&quot;??_ ;_ @_ "/>
    <numFmt numFmtId="196" formatCode="_(* #,##0.000_);_(* \(#,##0.000\);_(* &quot;-&quot;???_);_(@_)"/>
    <numFmt numFmtId="197" formatCode="_(* #,##0.00000_);_(* \(#,##0.00000\);_(* &quot;-&quot;??_);_(@_)"/>
    <numFmt numFmtId="198" formatCode="_ * #,##0_ ;_ * \-#,##0_ ;_ * &quot;-&quot;??_ ;_ @_ "/>
    <numFmt numFmtId="199" formatCode="_(* #,##0.0_);_(* \(#,##0.0\);_(* &quot;-&quot;?_);_(@_)"/>
    <numFmt numFmtId="200" formatCode="[$€-2]\ #,##0.00_);[Red]\([$€-2]\ #,##0.00\)"/>
    <numFmt numFmtId="201" formatCode="0.0000000000"/>
    <numFmt numFmtId="202" formatCode="0.00000000000"/>
    <numFmt numFmtId="203" formatCode="_(* #,##0.0000_);_(* \(#,##0.0000\);_(* &quot;-&quot;????_);_(@_)"/>
    <numFmt numFmtId="204" formatCode="_(* #,##0.000000_);_(* \(#,##0.000000\);_(* &quot;-&quot;??_);_(@_)"/>
    <numFmt numFmtId="205" formatCode="0.000%"/>
    <numFmt numFmtId="206" formatCode="0.0000%"/>
    <numFmt numFmtId="207" formatCode="#,##0.000"/>
    <numFmt numFmtId="208" formatCode="#,##0.0000"/>
    <numFmt numFmtId="209" formatCode="#,##0.00000"/>
    <numFmt numFmtId="210" formatCode="_(* #,##0.0_);_(* \(#,##0.0\);_(* &quot;-&quot;_);_(@_)"/>
    <numFmt numFmtId="211" formatCode="_(* #,##0_);_(* \(#,##0\);_(* &quot;-&quot;?_);_(@_)"/>
    <numFmt numFmtId="212" formatCode="#,##0.000000"/>
    <numFmt numFmtId="213" formatCode="#,##0.0"/>
  </numFmts>
  <fonts count="46">
    <font>
      <sz val="10"/>
      <name val="Arial"/>
      <family val="0"/>
    </font>
    <font>
      <sz val="10"/>
      <name val="Times New Roman"/>
      <family val="1"/>
    </font>
    <font>
      <u val="single"/>
      <sz val="10"/>
      <color indexed="12"/>
      <name val="Arial"/>
      <family val="0"/>
    </font>
    <font>
      <u val="single"/>
      <sz val="10"/>
      <color indexed="36"/>
      <name val="Arial"/>
      <family val="0"/>
    </font>
    <font>
      <b/>
      <sz val="10"/>
      <name val="Times New Roman"/>
      <family val="1"/>
    </font>
    <font>
      <b/>
      <sz val="10"/>
      <color indexed="18"/>
      <name val="Times New Roman"/>
      <family val="1"/>
    </font>
    <font>
      <b/>
      <u val="single"/>
      <sz val="10"/>
      <color indexed="18"/>
      <name val="Times New Roman"/>
      <family val="1"/>
    </font>
    <font>
      <b/>
      <sz val="10"/>
      <color indexed="12"/>
      <name val="Times New Roman"/>
      <family val="1"/>
    </font>
    <font>
      <b/>
      <sz val="14"/>
      <color indexed="18"/>
      <name val="Times New Roman"/>
      <family val="1"/>
    </font>
    <font>
      <sz val="10"/>
      <color indexed="18"/>
      <name val="Times New Roman"/>
      <family val="1"/>
    </font>
    <font>
      <b/>
      <sz val="8"/>
      <color indexed="18"/>
      <name val="Times New Roman"/>
      <family val="1"/>
    </font>
    <font>
      <b/>
      <sz val="8"/>
      <name val="Times New Roman"/>
      <family val="1"/>
    </font>
    <font>
      <b/>
      <sz val="10"/>
      <color indexed="8"/>
      <name val="Times New Roman"/>
      <family val="1"/>
    </font>
    <font>
      <sz val="10"/>
      <color indexed="8"/>
      <name val="Arial"/>
      <family val="0"/>
    </font>
    <font>
      <sz val="10"/>
      <color indexed="8"/>
      <name val="Times New Roman"/>
      <family val="1"/>
    </font>
    <font>
      <b/>
      <sz val="12"/>
      <name val="Times New Roman"/>
      <family val="1"/>
    </font>
    <font>
      <b/>
      <i/>
      <sz val="10"/>
      <color indexed="8"/>
      <name val="Times New Roman"/>
      <family val="1"/>
    </font>
    <font>
      <i/>
      <sz val="10"/>
      <color indexed="18"/>
      <name val="Times New Roman"/>
      <family val="1"/>
    </font>
    <font>
      <b/>
      <i/>
      <u val="single"/>
      <sz val="10"/>
      <color indexed="8"/>
      <name val="Times New Roman"/>
      <family val="1"/>
    </font>
    <font>
      <b/>
      <sz val="16"/>
      <color indexed="18"/>
      <name val="Times New Roman"/>
      <family val="1"/>
    </font>
    <font>
      <b/>
      <sz val="14"/>
      <color indexed="62"/>
      <name val="Times New Roman"/>
      <family val="1"/>
    </font>
    <font>
      <b/>
      <sz val="12"/>
      <color indexed="18"/>
      <name val="Times New Roman"/>
      <family val="1"/>
    </font>
    <font>
      <b/>
      <sz val="14"/>
      <name val="Times New Roman"/>
      <family val="1"/>
    </font>
    <font>
      <sz val="12"/>
      <name val="Times New Roman"/>
      <family val="1"/>
    </font>
    <font>
      <b/>
      <vertAlign val="subscript"/>
      <sz val="10"/>
      <name val="Times New Roman"/>
      <family val="1"/>
    </font>
    <font>
      <sz val="9"/>
      <name val="Arial"/>
      <family val="0"/>
    </font>
    <font>
      <b/>
      <sz val="10"/>
      <color indexed="62"/>
      <name val="Times New Roman"/>
      <family val="1"/>
    </font>
    <font>
      <b/>
      <i/>
      <sz val="10"/>
      <name val="Times New Roman"/>
      <family val="1"/>
    </font>
    <font>
      <b/>
      <sz val="9"/>
      <name val="Times New Roman"/>
      <family val="1"/>
    </font>
    <font>
      <sz val="8"/>
      <name val="Times New Roman"/>
      <family val="1"/>
    </font>
    <font>
      <i/>
      <sz val="8"/>
      <name val="Times New Roman"/>
      <family val="1"/>
    </font>
    <font>
      <b/>
      <sz val="10"/>
      <name val="Arial"/>
      <family val="2"/>
    </font>
    <font>
      <sz val="8"/>
      <name val="Arial"/>
      <family val="0"/>
    </font>
    <font>
      <b/>
      <vertAlign val="superscript"/>
      <sz val="10"/>
      <color indexed="8"/>
      <name val="Times New Roman"/>
      <family val="1"/>
    </font>
    <font>
      <sz val="7"/>
      <name val="Times New Roman"/>
      <family val="1"/>
    </font>
    <font>
      <i/>
      <sz val="7"/>
      <name val="Times New Roman"/>
      <family val="1"/>
    </font>
    <font>
      <u val="single"/>
      <sz val="7"/>
      <name val="Times New Roman"/>
      <family val="1"/>
    </font>
    <font>
      <b/>
      <vertAlign val="superscript"/>
      <sz val="8"/>
      <name val="Times New Roman"/>
      <family val="1"/>
    </font>
    <font>
      <u val="single"/>
      <sz val="8"/>
      <color indexed="8"/>
      <name val="Times New Roman"/>
      <family val="1"/>
    </font>
    <font>
      <b/>
      <vertAlign val="superscript"/>
      <sz val="10"/>
      <name val="Times New Roman"/>
      <family val="1"/>
    </font>
    <font>
      <i/>
      <sz val="10"/>
      <name val="Times New Roman"/>
      <family val="1"/>
    </font>
    <font>
      <sz val="12"/>
      <color indexed="18"/>
      <name val="Times New Roman"/>
      <family val="1"/>
    </font>
    <font>
      <b/>
      <i/>
      <u val="single"/>
      <sz val="10"/>
      <name val="Times New Roman"/>
      <family val="1"/>
    </font>
    <font>
      <b/>
      <i/>
      <vertAlign val="subscript"/>
      <sz val="10"/>
      <name val="Times New Roman"/>
      <family val="1"/>
    </font>
    <font>
      <b/>
      <i/>
      <sz val="9"/>
      <name val="Times New Roman"/>
      <family val="1"/>
    </font>
    <font>
      <b/>
      <u val="single"/>
      <sz val="10"/>
      <color indexed="12"/>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cellStyleXfs>
  <cellXfs count="510">
    <xf numFmtId="0" fontId="0" fillId="0" borderId="0" xfId="0" applyAlignment="1">
      <alignment/>
    </xf>
    <xf numFmtId="0" fontId="4" fillId="0" borderId="0" xfId="0" applyFont="1" applyFill="1" applyAlignment="1">
      <alignment/>
    </xf>
    <xf numFmtId="0" fontId="5" fillId="2" borderId="0" xfId="0" applyFont="1" applyFill="1" applyAlignment="1">
      <alignment/>
    </xf>
    <xf numFmtId="0" fontId="10" fillId="2" borderId="0" xfId="0" applyFont="1" applyFill="1" applyAlignment="1">
      <alignment horizontal="right"/>
    </xf>
    <xf numFmtId="0" fontId="7" fillId="2" borderId="0" xfId="0" applyFont="1" applyFill="1" applyAlignment="1">
      <alignment horizontal="justify"/>
    </xf>
    <xf numFmtId="0" fontId="5" fillId="2" borderId="0" xfId="0" applyFont="1" applyFill="1" applyAlignment="1">
      <alignment horizontal="justify"/>
    </xf>
    <xf numFmtId="0" fontId="0" fillId="0" borderId="0" xfId="0" applyAlignment="1">
      <alignment horizontal="justify"/>
    </xf>
    <xf numFmtId="0" fontId="4" fillId="0" borderId="0" xfId="0" applyFont="1" applyAlignment="1">
      <alignment horizontal="justify" vertical="center" wrapText="1"/>
    </xf>
    <xf numFmtId="0" fontId="4" fillId="0" borderId="0" xfId="0" applyFont="1" applyAlignment="1">
      <alignment horizontal="justify" vertical="top" wrapText="1"/>
    </xf>
    <xf numFmtId="0" fontId="0" fillId="2" borderId="0" xfId="0" applyFill="1" applyAlignment="1">
      <alignment/>
    </xf>
    <xf numFmtId="0" fontId="0" fillId="2" borderId="0" xfId="0" applyFill="1" applyAlignment="1">
      <alignment horizontal="justify"/>
    </xf>
    <xf numFmtId="0" fontId="12" fillId="2" borderId="0" xfId="0" applyFont="1" applyFill="1" applyAlignment="1">
      <alignment horizontal="justify"/>
    </xf>
    <xf numFmtId="0" fontId="13" fillId="2" borderId="0" xfId="0" applyFont="1" applyFill="1" applyAlignment="1">
      <alignment horizontal="justify"/>
    </xf>
    <xf numFmtId="0" fontId="9" fillId="2" borderId="0" xfId="0" applyFont="1" applyFill="1" applyAlignment="1">
      <alignment horizontal="justify"/>
    </xf>
    <xf numFmtId="0" fontId="14" fillId="2" borderId="0" xfId="0" applyFont="1" applyFill="1" applyAlignment="1">
      <alignment horizontal="justify"/>
    </xf>
    <xf numFmtId="49" fontId="5" fillId="2" borderId="0" xfId="0" applyNumberFormat="1" applyFont="1" applyFill="1" applyAlignment="1">
      <alignment/>
    </xf>
    <xf numFmtId="49" fontId="5" fillId="2" borderId="0" xfId="0" applyNumberFormat="1" applyFont="1" applyFill="1" applyAlignment="1">
      <alignment horizontal="justify"/>
    </xf>
    <xf numFmtId="49" fontId="12" fillId="2" borderId="0" xfId="0" applyNumberFormat="1" applyFont="1" applyFill="1" applyAlignment="1">
      <alignment horizontal="justify"/>
    </xf>
    <xf numFmtId="0" fontId="16" fillId="2" borderId="0" xfId="0" applyFont="1" applyFill="1" applyAlignment="1">
      <alignment horizontal="justify"/>
    </xf>
    <xf numFmtId="0" fontId="17" fillId="2" borderId="0" xfId="0" applyFont="1" applyFill="1" applyAlignment="1">
      <alignment horizontal="justify"/>
    </xf>
    <xf numFmtId="49" fontId="9" fillId="2" borderId="0" xfId="0" applyNumberFormat="1" applyFont="1" applyFill="1" applyAlignment="1">
      <alignment horizontal="justify"/>
    </xf>
    <xf numFmtId="0" fontId="18" fillId="2" borderId="0" xfId="21" applyFont="1" applyFill="1" applyAlignment="1">
      <alignment horizontal="justify"/>
    </xf>
    <xf numFmtId="0" fontId="19" fillId="2" borderId="0" xfId="0" applyFont="1" applyFill="1" applyAlignment="1">
      <alignment horizontal="center"/>
    </xf>
    <xf numFmtId="0" fontId="10" fillId="0" borderId="0" xfId="0" applyFont="1" applyFill="1" applyAlignment="1">
      <alignment horizontal="right"/>
    </xf>
    <xf numFmtId="0" fontId="4" fillId="0" borderId="0" xfId="0" applyFont="1" applyFill="1" applyAlignment="1">
      <alignment horizontal="justify"/>
    </xf>
    <xf numFmtId="0" fontId="6" fillId="0" borderId="0" xfId="21" applyFont="1" applyFill="1" applyAlignment="1">
      <alignment horizontal="right"/>
    </xf>
    <xf numFmtId="0" fontId="4" fillId="0" borderId="0" xfId="0" applyFont="1" applyFill="1" applyAlignment="1">
      <alignment horizontal="justify" vertical="top" wrapText="1"/>
    </xf>
    <xf numFmtId="0" fontId="4" fillId="0" borderId="0" xfId="0" applyFont="1" applyFill="1" applyAlignment="1">
      <alignment/>
    </xf>
    <xf numFmtId="0" fontId="4" fillId="0" borderId="0" xfId="0" applyFont="1" applyFill="1" applyAlignment="1">
      <alignment horizontal="right"/>
    </xf>
    <xf numFmtId="0" fontId="4" fillId="0" borderId="0" xfId="0" applyFont="1" applyAlignment="1">
      <alignment horizontal="right" vertical="top"/>
    </xf>
    <xf numFmtId="0" fontId="5" fillId="0" borderId="0" xfId="0" applyFont="1" applyFill="1" applyAlignment="1">
      <alignment horizontal="justify"/>
    </xf>
    <xf numFmtId="0" fontId="5" fillId="0" borderId="0" xfId="0" applyFont="1" applyFill="1" applyAlignment="1">
      <alignment horizontal="justify" vertical="top" wrapText="1"/>
    </xf>
    <xf numFmtId="0" fontId="5" fillId="0" borderId="0" xfId="0" applyFont="1" applyFill="1" applyAlignment="1">
      <alignment/>
    </xf>
    <xf numFmtId="0" fontId="4" fillId="3" borderId="0" xfId="0" applyFont="1" applyFill="1" applyAlignment="1">
      <alignment/>
    </xf>
    <xf numFmtId="0" fontId="21" fillId="3" borderId="0" xfId="0" applyFont="1" applyFill="1" applyAlignment="1">
      <alignment horizontal="right"/>
    </xf>
    <xf numFmtId="0" fontId="21" fillId="3" borderId="0" xfId="0" applyFont="1" applyFill="1" applyAlignment="1">
      <alignment horizontal="center"/>
    </xf>
    <xf numFmtId="0" fontId="21" fillId="3" borderId="0" xfId="0" applyFont="1" applyFill="1" applyAlignment="1">
      <alignment horizontal="left"/>
    </xf>
    <xf numFmtId="0" fontId="20" fillId="0" borderId="0" xfId="0" applyFont="1" applyFill="1" applyAlignment="1">
      <alignment horizontal="center"/>
    </xf>
    <xf numFmtId="0" fontId="0" fillId="0" borderId="0" xfId="0" applyFill="1" applyAlignment="1">
      <alignment/>
    </xf>
    <xf numFmtId="0" fontId="0" fillId="0" borderId="0" xfId="0" applyFill="1" applyAlignment="1">
      <alignment horizontal="justify"/>
    </xf>
    <xf numFmtId="0" fontId="12" fillId="0" borderId="0" xfId="0" applyFont="1" applyFill="1" applyAlignment="1">
      <alignment horizontal="justify"/>
    </xf>
    <xf numFmtId="0" fontId="4" fillId="0" borderId="0" xfId="0" applyFont="1" applyFill="1" applyAlignment="1">
      <alignment horizontal="left" vertical="top" wrapText="1"/>
    </xf>
    <xf numFmtId="0" fontId="8" fillId="0" borderId="0" xfId="0" applyFont="1" applyFill="1" applyAlignment="1">
      <alignment horizontal="center"/>
    </xf>
    <xf numFmtId="0" fontId="21" fillId="0" borderId="0" xfId="0" applyFont="1" applyFill="1" applyAlignment="1">
      <alignment horizontal="right"/>
    </xf>
    <xf numFmtId="0" fontId="0" fillId="0" borderId="0" xfId="0" applyFill="1" applyAlignment="1">
      <alignment horizontal="right"/>
    </xf>
    <xf numFmtId="0" fontId="4" fillId="0" borderId="0" xfId="0" applyFont="1" applyAlignment="1">
      <alignment horizontal="left" vertical="top" wrapText="1"/>
    </xf>
    <xf numFmtId="0" fontId="4" fillId="0" borderId="0" xfId="0" applyFont="1" applyAlignment="1">
      <alignment/>
    </xf>
    <xf numFmtId="0" fontId="4" fillId="0" borderId="0" xfId="0" applyFont="1" applyFill="1" applyBorder="1" applyAlignment="1">
      <alignment horizontal="center" vertical="top" wrapText="1"/>
    </xf>
    <xf numFmtId="0" fontId="4" fillId="0" borderId="0" xfId="0" applyFont="1" applyFill="1" applyAlignment="1">
      <alignment horizontal="justify" vertical="justify" wrapText="1"/>
    </xf>
    <xf numFmtId="0" fontId="4" fillId="0" borderId="0" xfId="0" applyFont="1" applyFill="1" applyAlignment="1">
      <alignment horizontal="left" vertical="center" wrapText="1"/>
    </xf>
    <xf numFmtId="0" fontId="2" fillId="0" borderId="0" xfId="21" applyAlignment="1">
      <alignment horizontal="right" vertical="top" wrapText="1"/>
    </xf>
    <xf numFmtId="0" fontId="1" fillId="0" borderId="0" xfId="0" applyFont="1" applyAlignment="1">
      <alignment/>
    </xf>
    <xf numFmtId="0" fontId="6" fillId="0" borderId="0" xfId="21" applyFont="1" applyAlignment="1">
      <alignment horizontal="right" vertical="top" wrapText="1"/>
    </xf>
    <xf numFmtId="0" fontId="11" fillId="0" borderId="0" xfId="0" applyFont="1" applyAlignment="1">
      <alignment vertical="top"/>
    </xf>
    <xf numFmtId="0" fontId="25" fillId="0" borderId="0" xfId="0" applyFont="1" applyAlignment="1">
      <alignment/>
    </xf>
    <xf numFmtId="0" fontId="0" fillId="0" borderId="0" xfId="0" applyFill="1" applyBorder="1" applyAlignment="1">
      <alignment/>
    </xf>
    <xf numFmtId="0" fontId="15" fillId="0" borderId="0" xfId="0" applyFont="1" applyFill="1" applyBorder="1" applyAlignment="1">
      <alignment horizontal="center" vertical="top" wrapText="1"/>
    </xf>
    <xf numFmtId="0" fontId="26" fillId="0" borderId="0" xfId="0" applyFont="1" applyFill="1" applyAlignment="1">
      <alignment horizontal="center"/>
    </xf>
    <xf numFmtId="0" fontId="4" fillId="0" borderId="0" xfId="0" applyFont="1" applyFill="1" applyAlignment="1">
      <alignment horizontal="left" vertical="justify" wrapText="1"/>
    </xf>
    <xf numFmtId="0" fontId="10" fillId="0" borderId="0" xfId="0" applyFont="1" applyAlignment="1">
      <alignment horizontal="right"/>
    </xf>
    <xf numFmtId="0" fontId="4" fillId="0" borderId="0" xfId="0" applyFont="1" applyAlignment="1">
      <alignment horizontal="center" wrapText="1"/>
    </xf>
    <xf numFmtId="0" fontId="29" fillId="0" borderId="0" xfId="23" applyFont="1" applyBorder="1" applyAlignment="1">
      <alignment vertical="center" wrapText="1"/>
      <protection/>
    </xf>
    <xf numFmtId="0" fontId="1" fillId="0" borderId="1" xfId="0" applyFont="1" applyBorder="1" applyAlignment="1">
      <alignment horizontal="justify"/>
    </xf>
    <xf numFmtId="0" fontId="0" fillId="0" borderId="1" xfId="0" applyBorder="1" applyAlignment="1">
      <alignment/>
    </xf>
    <xf numFmtId="0" fontId="28" fillId="0" borderId="0" xfId="23" applyFont="1" applyBorder="1" applyAlignment="1">
      <alignment horizontal="center"/>
      <protection/>
    </xf>
    <xf numFmtId="0" fontId="1" fillId="0" borderId="1" xfId="23" applyFont="1" applyBorder="1">
      <alignment/>
      <protection/>
    </xf>
    <xf numFmtId="49" fontId="1" fillId="0" borderId="0" xfId="23" applyNumberFormat="1" applyFont="1" applyBorder="1" applyAlignment="1">
      <alignment horizontal="center" wrapText="1"/>
      <protection/>
    </xf>
    <xf numFmtId="3" fontId="1" fillId="0" borderId="0" xfId="23" applyNumberFormat="1" applyFont="1" applyBorder="1" applyAlignment="1">
      <alignment horizontal="right" wrapText="1"/>
      <protection/>
    </xf>
    <xf numFmtId="0" fontId="1" fillId="0" borderId="0" xfId="23" applyFont="1">
      <alignment/>
      <protection/>
    </xf>
    <xf numFmtId="189" fontId="1" fillId="0" borderId="0" xfId="17" applyFont="1" applyAlignment="1">
      <alignment/>
    </xf>
    <xf numFmtId="190" fontId="1" fillId="0" borderId="0" xfId="17" applyNumberFormat="1" applyFont="1" applyAlignment="1">
      <alignment horizontal="center"/>
    </xf>
    <xf numFmtId="0" fontId="1" fillId="0" borderId="0" xfId="23" applyFont="1" applyBorder="1" applyAlignment="1">
      <alignment horizontal="center"/>
      <protection/>
    </xf>
    <xf numFmtId="0" fontId="29" fillId="0" borderId="0" xfId="23" applyFont="1" applyAlignment="1">
      <alignment vertical="center" wrapText="1"/>
      <protection/>
    </xf>
    <xf numFmtId="0" fontId="1" fillId="0" borderId="0" xfId="0" applyFont="1" applyBorder="1" applyAlignment="1">
      <alignment horizontal="justify"/>
    </xf>
    <xf numFmtId="0" fontId="0" fillId="0" borderId="0" xfId="0" applyBorder="1" applyAlignment="1">
      <alignment/>
    </xf>
    <xf numFmtId="0" fontId="4" fillId="0" borderId="0" xfId="23" applyFont="1" applyBorder="1">
      <alignment/>
      <protection/>
    </xf>
    <xf numFmtId="0" fontId="1" fillId="0" borderId="0" xfId="23" applyFont="1" applyBorder="1">
      <alignment/>
      <protection/>
    </xf>
    <xf numFmtId="49" fontId="1" fillId="0" borderId="0" xfId="23" applyNumberFormat="1" applyFont="1" applyBorder="1">
      <alignment/>
      <protection/>
    </xf>
    <xf numFmtId="189" fontId="1" fillId="0" borderId="0" xfId="17" applyFont="1" applyBorder="1" applyAlignment="1">
      <alignment/>
    </xf>
    <xf numFmtId="190" fontId="1" fillId="0" borderId="0" xfId="17" applyNumberFormat="1" applyFont="1" applyBorder="1" applyAlignment="1">
      <alignment horizontal="center"/>
    </xf>
    <xf numFmtId="3" fontId="9" fillId="0" borderId="0" xfId="23" applyNumberFormat="1" applyFont="1" applyBorder="1" applyAlignment="1">
      <alignment horizontal="right" wrapText="1"/>
      <protection/>
    </xf>
    <xf numFmtId="0" fontId="4" fillId="0" borderId="0" xfId="23" applyFont="1" applyFill="1" applyBorder="1">
      <alignment/>
      <protection/>
    </xf>
    <xf numFmtId="0" fontId="1" fillId="0" borderId="0" xfId="23" applyFont="1" applyFill="1" applyBorder="1">
      <alignment/>
      <protection/>
    </xf>
    <xf numFmtId="3" fontId="1" fillId="0" borderId="0" xfId="23" applyNumberFormat="1" applyFont="1" applyFill="1" applyBorder="1" applyAlignment="1">
      <alignment horizontal="right" wrapText="1"/>
      <protection/>
    </xf>
    <xf numFmtId="189" fontId="1" fillId="0" borderId="0" xfId="17" applyFont="1" applyFill="1" applyBorder="1" applyAlignment="1">
      <alignment/>
    </xf>
    <xf numFmtId="0" fontId="29" fillId="0" borderId="0" xfId="23" applyFont="1" applyFill="1" applyBorder="1" applyAlignment="1">
      <alignment vertical="center" wrapText="1"/>
      <protection/>
    </xf>
    <xf numFmtId="0" fontId="1" fillId="0" borderId="0" xfId="0" applyFont="1" applyAlignment="1">
      <alignment horizontal="justify"/>
    </xf>
    <xf numFmtId="0" fontId="15" fillId="0" borderId="0" xfId="23" applyFont="1" applyAlignment="1">
      <alignment horizontal="center"/>
      <protection/>
    </xf>
    <xf numFmtId="0" fontId="4" fillId="0" borderId="0" xfId="0" applyFont="1" applyFill="1" applyAlignment="1">
      <alignment horizontal="center" vertical="top" wrapText="1"/>
    </xf>
    <xf numFmtId="0" fontId="28" fillId="3" borderId="0" xfId="23" applyFont="1" applyFill="1" applyBorder="1" applyAlignment="1">
      <alignment horizontal="center"/>
      <protection/>
    </xf>
    <xf numFmtId="0" fontId="1" fillId="3" borderId="1" xfId="23" applyFont="1" applyFill="1" applyBorder="1">
      <alignment/>
      <protection/>
    </xf>
    <xf numFmtId="49" fontId="1" fillId="3" borderId="1" xfId="23" applyNumberFormat="1" applyFont="1" applyFill="1" applyBorder="1">
      <alignment/>
      <protection/>
    </xf>
    <xf numFmtId="3" fontId="1" fillId="3" borderId="0" xfId="23" applyNumberFormat="1" applyFont="1" applyFill="1" applyBorder="1" applyAlignment="1">
      <alignment horizontal="right" wrapText="1"/>
      <protection/>
    </xf>
    <xf numFmtId="0" fontId="1" fillId="3" borderId="0" xfId="23" applyFont="1" applyFill="1">
      <alignment/>
      <protection/>
    </xf>
    <xf numFmtId="189" fontId="1" fillId="3" borderId="0" xfId="17" applyFont="1" applyFill="1" applyAlignment="1">
      <alignment/>
    </xf>
    <xf numFmtId="190" fontId="1" fillId="3" borderId="0" xfId="17" applyNumberFormat="1" applyFont="1" applyFill="1" applyAlignment="1">
      <alignment horizontal="center"/>
    </xf>
    <xf numFmtId="49" fontId="4" fillId="0" borderId="0" xfId="23" applyNumberFormat="1" applyFont="1" applyBorder="1" applyAlignment="1">
      <alignment horizontal="center" wrapText="1"/>
      <protection/>
    </xf>
    <xf numFmtId="49" fontId="4" fillId="3" borderId="0" xfId="23" applyNumberFormat="1" applyFont="1" applyFill="1" applyBorder="1" applyAlignment="1">
      <alignment horizontal="center" wrapText="1"/>
      <protection/>
    </xf>
    <xf numFmtId="0" fontId="4" fillId="3" borderId="0" xfId="23" applyFont="1" applyFill="1" applyBorder="1" applyAlignment="1">
      <alignment horizontal="center"/>
      <protection/>
    </xf>
    <xf numFmtId="0" fontId="4" fillId="0" borderId="0" xfId="0" applyFont="1" applyAlignment="1">
      <alignment horizontal="left" wrapText="1"/>
    </xf>
    <xf numFmtId="0" fontId="4" fillId="0" borderId="0" xfId="0" applyFont="1" applyAlignment="1">
      <alignment horizontal="center" vertical="center" wrapText="1"/>
    </xf>
    <xf numFmtId="0" fontId="21" fillId="0" borderId="0" xfId="0" applyFont="1" applyFill="1" applyAlignment="1">
      <alignment horizontal="center"/>
    </xf>
    <xf numFmtId="0" fontId="4" fillId="0" borderId="0" xfId="0" applyFont="1" applyAlignment="1">
      <alignment wrapText="1"/>
    </xf>
    <xf numFmtId="0" fontId="4" fillId="0" borderId="0" xfId="0" applyFont="1" applyAlignment="1">
      <alignment horizontal="left"/>
    </xf>
    <xf numFmtId="0" fontId="4" fillId="0" borderId="0" xfId="0" applyFont="1" applyAlignment="1">
      <alignment horizontal="right"/>
    </xf>
    <xf numFmtId="0" fontId="11" fillId="0" borderId="0" xfId="0" applyFont="1" applyFill="1" applyAlignment="1">
      <alignment/>
    </xf>
    <xf numFmtId="0" fontId="23" fillId="0" borderId="0" xfId="0" applyFont="1" applyFill="1" applyAlignment="1">
      <alignment/>
    </xf>
    <xf numFmtId="0" fontId="4" fillId="0" borderId="0" xfId="0" applyFont="1" applyFill="1" applyAlignment="1">
      <alignment horizontal="justify" vertical="center" wrapText="1"/>
    </xf>
    <xf numFmtId="0" fontId="23" fillId="0" borderId="0" xfId="0" applyFont="1" applyFill="1" applyAlignment="1">
      <alignment horizontal="justify"/>
    </xf>
    <xf numFmtId="0" fontId="12" fillId="0" borderId="0" xfId="0" applyFont="1" applyFill="1" applyBorder="1" applyAlignment="1">
      <alignment horizontal="justify" vertical="justify" wrapText="1"/>
    </xf>
    <xf numFmtId="0" fontId="15" fillId="0" borderId="0" xfId="0" applyFont="1" applyFill="1" applyAlignment="1">
      <alignment horizontal="justify" vertical="justify" wrapText="1"/>
    </xf>
    <xf numFmtId="0" fontId="23" fillId="0" borderId="0" xfId="0" applyFont="1" applyFill="1" applyAlignment="1">
      <alignment horizontal="justify" vertical="justify" wrapText="1"/>
    </xf>
    <xf numFmtId="0" fontId="1" fillId="0" borderId="1" xfId="23" applyFont="1" applyFill="1" applyBorder="1">
      <alignment/>
      <protection/>
    </xf>
    <xf numFmtId="0" fontId="4" fillId="0" borderId="0" xfId="0" applyFont="1" applyFill="1" applyBorder="1" applyAlignment="1">
      <alignment horizontal="justify"/>
    </xf>
    <xf numFmtId="0" fontId="0" fillId="0" borderId="0" xfId="0" applyAlignment="1">
      <alignment horizontal="justify" vertical="center" wrapText="1"/>
    </xf>
    <xf numFmtId="0" fontId="4" fillId="0" borderId="0" xfId="23" applyFont="1" applyFill="1" applyBorder="1" applyAlignment="1">
      <alignment horizontal="center"/>
      <protection/>
    </xf>
    <xf numFmtId="0" fontId="1" fillId="0" borderId="0" xfId="23" applyFont="1" applyFill="1">
      <alignment/>
      <protection/>
    </xf>
    <xf numFmtId="191" fontId="1" fillId="0" borderId="0" xfId="23" applyNumberFormat="1" applyFont="1">
      <alignment/>
      <protection/>
    </xf>
    <xf numFmtId="170" fontId="22" fillId="0" borderId="0" xfId="23" applyNumberFormat="1" applyFont="1">
      <alignment/>
      <protection/>
    </xf>
    <xf numFmtId="170" fontId="1" fillId="0" borderId="0" xfId="15" applyNumberFormat="1" applyFont="1" applyAlignment="1">
      <alignment horizontal="right"/>
    </xf>
    <xf numFmtId="170" fontId="1" fillId="3" borderId="0" xfId="15" applyNumberFormat="1" applyFont="1" applyFill="1" applyAlignment="1">
      <alignment horizontal="right"/>
    </xf>
    <xf numFmtId="3" fontId="4" fillId="3" borderId="0" xfId="23" applyNumberFormat="1" applyFont="1" applyFill="1" applyBorder="1" applyAlignment="1">
      <alignment horizontal="right" wrapText="1"/>
      <protection/>
    </xf>
    <xf numFmtId="189" fontId="4" fillId="3" borderId="0" xfId="17" applyFont="1" applyFill="1" applyAlignment="1">
      <alignment/>
    </xf>
    <xf numFmtId="0" fontId="4" fillId="3" borderId="0" xfId="23" applyFont="1" applyFill="1">
      <alignment/>
      <protection/>
    </xf>
    <xf numFmtId="170" fontId="4" fillId="3" borderId="0" xfId="15" applyNumberFormat="1" applyFont="1" applyFill="1" applyAlignment="1">
      <alignment horizontal="right"/>
    </xf>
    <xf numFmtId="0" fontId="4" fillId="3" borderId="0" xfId="0" applyFont="1" applyFill="1" applyAlignment="1">
      <alignment horizontal="center" vertical="center" wrapText="1"/>
    </xf>
    <xf numFmtId="0" fontId="4" fillId="3" borderId="0" xfId="0" applyFont="1" applyFill="1" applyBorder="1" applyAlignment="1">
      <alignment horizontal="center" vertical="center" wrapText="1"/>
    </xf>
    <xf numFmtId="49" fontId="1" fillId="3" borderId="1" xfId="23" applyNumberFormat="1" applyFont="1" applyFill="1" applyBorder="1" applyAlignment="1">
      <alignment horizontal="center"/>
      <protection/>
    </xf>
    <xf numFmtId="168" fontId="22" fillId="0" borderId="0" xfId="23" applyNumberFormat="1" applyFont="1" applyAlignment="1">
      <alignment horizontal="left"/>
      <protection/>
    </xf>
    <xf numFmtId="49" fontId="1" fillId="0" borderId="0" xfId="23" applyNumberFormat="1" applyFont="1">
      <alignment/>
      <protection/>
    </xf>
    <xf numFmtId="167" fontId="1" fillId="0" borderId="0" xfId="23" applyNumberFormat="1" applyFont="1">
      <alignment/>
      <protection/>
    </xf>
    <xf numFmtId="49" fontId="4" fillId="3" borderId="1" xfId="0" applyNumberFormat="1" applyFont="1" applyFill="1" applyBorder="1" applyAlignment="1">
      <alignment horizontal="center" vertical="center" wrapText="1"/>
    </xf>
    <xf numFmtId="169" fontId="22" fillId="0" borderId="0" xfId="23" applyNumberFormat="1" applyFont="1" applyAlignment="1">
      <alignment horizontal="left"/>
      <protection/>
    </xf>
    <xf numFmtId="190" fontId="4" fillId="3" borderId="0" xfId="23" applyNumberFormat="1" applyFont="1" applyFill="1">
      <alignment/>
      <protection/>
    </xf>
    <xf numFmtId="0" fontId="1" fillId="0" borderId="0" xfId="23" applyFont="1" applyAlignment="1">
      <alignment horizontal="right"/>
      <protection/>
    </xf>
    <xf numFmtId="0" fontId="1" fillId="3" borderId="0" xfId="23" applyFont="1" applyFill="1" applyAlignment="1">
      <alignment horizontal="right"/>
      <protection/>
    </xf>
    <xf numFmtId="190" fontId="1" fillId="3" borderId="0" xfId="17" applyNumberFormat="1" applyFont="1" applyFill="1" applyAlignment="1">
      <alignment horizontal="right"/>
    </xf>
    <xf numFmtId="190" fontId="1" fillId="0" borderId="0" xfId="17" applyNumberFormat="1" applyFont="1" applyAlignment="1">
      <alignment horizontal="right"/>
    </xf>
    <xf numFmtId="49" fontId="1" fillId="0" borderId="0" xfId="23" applyNumberFormat="1" applyFont="1" applyFill="1" applyBorder="1" applyAlignment="1">
      <alignment horizontal="center"/>
      <protection/>
    </xf>
    <xf numFmtId="170" fontId="1" fillId="0" borderId="0" xfId="15" applyNumberFormat="1" applyFont="1" applyFill="1" applyBorder="1" applyAlignment="1">
      <alignment horizontal="right"/>
    </xf>
    <xf numFmtId="170" fontId="4" fillId="0" borderId="0" xfId="15" applyNumberFormat="1" applyFont="1" applyFill="1" applyBorder="1" applyAlignment="1">
      <alignment horizontal="right"/>
    </xf>
    <xf numFmtId="3" fontId="4" fillId="0" borderId="0" xfId="23" applyNumberFormat="1" applyFont="1" applyFill="1" applyBorder="1" applyAlignment="1">
      <alignment horizontal="right" wrapText="1"/>
      <protection/>
    </xf>
    <xf numFmtId="189" fontId="4" fillId="0" borderId="0" xfId="17" applyFont="1" applyFill="1" applyBorder="1" applyAlignment="1">
      <alignment/>
    </xf>
    <xf numFmtId="0" fontId="4" fillId="0" borderId="0" xfId="0" applyFont="1" applyFill="1" applyBorder="1" applyAlignment="1">
      <alignment/>
    </xf>
    <xf numFmtId="191" fontId="4" fillId="0" borderId="0" xfId="23" applyNumberFormat="1" applyFont="1">
      <alignment/>
      <protection/>
    </xf>
    <xf numFmtId="0" fontId="0" fillId="3" borderId="0" xfId="0" applyFill="1" applyAlignment="1">
      <alignment horizontal="justify"/>
    </xf>
    <xf numFmtId="170" fontId="22" fillId="0" borderId="0" xfId="23" applyNumberFormat="1" applyFont="1" applyAlignment="1">
      <alignment vertical="center"/>
      <protection/>
    </xf>
    <xf numFmtId="169" fontId="22" fillId="0" borderId="0" xfId="23" applyNumberFormat="1" applyFont="1" applyAlignment="1">
      <alignment horizontal="left" vertical="center"/>
      <protection/>
    </xf>
    <xf numFmtId="0" fontId="4" fillId="0" borderId="0" xfId="0" applyFont="1" applyAlignment="1">
      <alignment vertical="center"/>
    </xf>
    <xf numFmtId="49" fontId="4" fillId="0" borderId="0" xfId="0" applyNumberFormat="1" applyFont="1" applyFill="1" applyAlignment="1">
      <alignment horizontal="justify" vertical="justify" wrapText="1"/>
    </xf>
    <xf numFmtId="0" fontId="1" fillId="0" borderId="0" xfId="22">
      <alignment/>
      <protection/>
    </xf>
    <xf numFmtId="0" fontId="1" fillId="0" borderId="0" xfId="22" applyFont="1" applyAlignment="1">
      <alignment horizontal="center"/>
      <protection/>
    </xf>
    <xf numFmtId="0" fontId="1" fillId="0" borderId="0" xfId="22" applyFont="1" applyAlignment="1">
      <alignment horizontal="justify"/>
      <protection/>
    </xf>
    <xf numFmtId="0" fontId="4" fillId="0" borderId="0" xfId="22" applyFont="1" applyAlignment="1">
      <alignment horizontal="center" vertical="top" wrapText="1"/>
      <protection/>
    </xf>
    <xf numFmtId="0" fontId="4" fillId="0" borderId="0" xfId="23" applyFont="1">
      <alignment/>
      <protection/>
    </xf>
    <xf numFmtId="0" fontId="1" fillId="0" borderId="0" xfId="23" applyFont="1" applyFill="1" applyAlignment="1">
      <alignment horizontal="center"/>
      <protection/>
    </xf>
    <xf numFmtId="0" fontId="1" fillId="0" borderId="1" xfId="23" applyFont="1" applyFill="1" applyBorder="1" applyAlignment="1">
      <alignment horizontal="center"/>
      <protection/>
    </xf>
    <xf numFmtId="0" fontId="25" fillId="0" borderId="1" xfId="0" applyFont="1" applyBorder="1" applyAlignment="1">
      <alignment/>
    </xf>
    <xf numFmtId="0" fontId="0" fillId="0" borderId="1" xfId="0" applyBorder="1" applyAlignment="1">
      <alignment horizontal="justify"/>
    </xf>
    <xf numFmtId="0" fontId="31" fillId="0" borderId="1" xfId="0" applyFont="1" applyBorder="1" applyAlignment="1">
      <alignment horizontal="justify"/>
    </xf>
    <xf numFmtId="0" fontId="0" fillId="0" borderId="0" xfId="0" applyAlignment="1">
      <alignment/>
    </xf>
    <xf numFmtId="0" fontId="4" fillId="0" borderId="0" xfId="0" applyFont="1" applyAlignment="1">
      <alignment/>
    </xf>
    <xf numFmtId="43" fontId="10" fillId="0" borderId="0" xfId="15" applyFont="1" applyAlignment="1">
      <alignment horizontal="right"/>
    </xf>
    <xf numFmtId="170" fontId="4" fillId="0" borderId="0" xfId="15" applyNumberFormat="1" applyFont="1" applyFill="1" applyAlignment="1">
      <alignment horizontal="center" vertical="center" wrapText="1"/>
    </xf>
    <xf numFmtId="0" fontId="6" fillId="0" borderId="0" xfId="21" applyFont="1" applyFill="1" applyAlignment="1">
      <alignment/>
    </xf>
    <xf numFmtId="0" fontId="1" fillId="0" borderId="0" xfId="22" applyFont="1" applyBorder="1" applyAlignment="1">
      <alignment horizontal="center" vertical="top" wrapText="1"/>
      <protection/>
    </xf>
    <xf numFmtId="0" fontId="6" fillId="2" borderId="0" xfId="21" applyFont="1" applyFill="1" applyAlignment="1">
      <alignment horizontal="right"/>
    </xf>
    <xf numFmtId="0" fontId="2" fillId="0" borderId="0" xfId="21" applyFill="1" applyAlignment="1">
      <alignment horizontal="center"/>
    </xf>
    <xf numFmtId="0" fontId="4" fillId="0" borderId="0" xfId="22" applyFont="1" applyFill="1" applyAlignment="1">
      <alignment horizontal="center"/>
      <protection/>
    </xf>
    <xf numFmtId="0" fontId="1" fillId="0" borderId="0" xfId="22" applyFont="1" applyAlignment="1">
      <alignment horizontal="left"/>
      <protection/>
    </xf>
    <xf numFmtId="0" fontId="1" fillId="0" borderId="0" xfId="22" applyFont="1" applyFill="1" applyAlignment="1">
      <alignment horizontal="center"/>
      <protection/>
    </xf>
    <xf numFmtId="0" fontId="1" fillId="0" borderId="0" xfId="22" applyFill="1">
      <alignment/>
      <protection/>
    </xf>
    <xf numFmtId="3" fontId="4" fillId="0" borderId="0" xfId="0" applyNumberFormat="1" applyFont="1" applyFill="1" applyAlignment="1">
      <alignment/>
    </xf>
    <xf numFmtId="0" fontId="1" fillId="0" borderId="0" xfId="0" applyFont="1" applyFill="1" applyAlignment="1">
      <alignment/>
    </xf>
    <xf numFmtId="3" fontId="1" fillId="0" borderId="0" xfId="0" applyNumberFormat="1" applyFont="1" applyFill="1" applyAlignment="1">
      <alignment/>
    </xf>
    <xf numFmtId="0" fontId="22" fillId="0" borderId="0" xfId="0" applyFont="1" applyFill="1" applyAlignment="1">
      <alignment horizontal="center"/>
    </xf>
    <xf numFmtId="49" fontId="12" fillId="2" borderId="0" xfId="0" applyNumberFormat="1" applyFont="1" applyFill="1" applyAlignment="1">
      <alignment horizontal="justify" vertical="center"/>
    </xf>
    <xf numFmtId="0" fontId="4" fillId="0" borderId="0" xfId="22" applyFont="1" applyBorder="1" applyAlignment="1">
      <alignment horizontal="left" wrapText="1"/>
      <protection/>
    </xf>
    <xf numFmtId="0" fontId="1" fillId="0" borderId="0" xfId="22" applyFont="1" applyFill="1" applyAlignment="1">
      <alignment vertical="center" wrapText="1"/>
      <protection/>
    </xf>
    <xf numFmtId="0" fontId="0" fillId="3" borderId="0" xfId="0" applyFill="1" applyAlignment="1">
      <alignment/>
    </xf>
    <xf numFmtId="0" fontId="34" fillId="0" borderId="0" xfId="22" applyFont="1" applyBorder="1" applyAlignment="1">
      <alignment horizontal="left"/>
      <protection/>
    </xf>
    <xf numFmtId="0" fontId="6" fillId="0" borderId="0" xfId="21" applyFont="1" applyAlignment="1">
      <alignment horizontal="right"/>
    </xf>
    <xf numFmtId="0" fontId="4" fillId="3" borderId="2" xfId="23" applyFont="1" applyFill="1" applyBorder="1" applyAlignment="1">
      <alignment horizontal="center" vertical="center" wrapText="1"/>
      <protection/>
    </xf>
    <xf numFmtId="0" fontId="4" fillId="3" borderId="2" xfId="23" applyFont="1" applyFill="1" applyBorder="1" applyAlignment="1">
      <alignment horizontal="center" vertical="center"/>
      <protection/>
    </xf>
    <xf numFmtId="0" fontId="4" fillId="3" borderId="3" xfId="22" applyFont="1" applyFill="1" applyBorder="1" applyAlignment="1">
      <alignment horizontal="center" vertical="center" wrapText="1"/>
      <protection/>
    </xf>
    <xf numFmtId="0" fontId="4" fillId="3" borderId="4" xfId="22" applyFont="1" applyFill="1" applyBorder="1" applyAlignment="1">
      <alignment horizontal="center" vertical="center" wrapText="1"/>
      <protection/>
    </xf>
    <xf numFmtId="0" fontId="0" fillId="0" borderId="0" xfId="22" applyFont="1" applyAlignment="1">
      <alignment horizontal="justify" vertical="center" wrapText="1"/>
      <protection/>
    </xf>
    <xf numFmtId="0" fontId="0" fillId="0" borderId="0" xfId="22" applyFont="1" applyAlignment="1">
      <alignment horizontal="center" vertical="center" wrapText="1"/>
      <protection/>
    </xf>
    <xf numFmtId="0" fontId="4" fillId="0" borderId="0" xfId="22" applyFont="1" applyAlignment="1">
      <alignment horizontal="left"/>
      <protection/>
    </xf>
    <xf numFmtId="0" fontId="4" fillId="3" borderId="3" xfId="22" applyFont="1" applyFill="1" applyBorder="1" applyAlignment="1">
      <alignment horizontal="center" vertical="top" wrapText="1"/>
      <protection/>
    </xf>
    <xf numFmtId="49" fontId="12" fillId="2" borderId="0" xfId="0" applyNumberFormat="1" applyFont="1" applyFill="1" applyAlignment="1">
      <alignment horizontal="justify" vertical="center" wrapText="1"/>
    </xf>
    <xf numFmtId="0" fontId="4" fillId="0" borderId="0" xfId="22" applyFont="1" applyAlignment="1">
      <alignment horizontal="left" vertical="center" wrapText="1"/>
      <protection/>
    </xf>
    <xf numFmtId="0" fontId="1" fillId="2" borderId="0" xfId="0" applyFont="1" applyFill="1" applyAlignment="1">
      <alignment/>
    </xf>
    <xf numFmtId="0" fontId="1" fillId="3" borderId="0" xfId="23" applyFont="1" applyFill="1" applyBorder="1" applyAlignment="1">
      <alignment horizontal="center" vertical="center"/>
      <protection/>
    </xf>
    <xf numFmtId="0" fontId="1" fillId="3" borderId="0" xfId="23" applyFont="1" applyFill="1" applyBorder="1" applyAlignment="1">
      <alignment horizontal="center" vertical="center" wrapText="1"/>
      <protection/>
    </xf>
    <xf numFmtId="0" fontId="1" fillId="3" borderId="1" xfId="23" applyFont="1" applyFill="1" applyBorder="1" applyAlignment="1">
      <alignment horizontal="center" vertical="center"/>
      <protection/>
    </xf>
    <xf numFmtId="0" fontId="1" fillId="3" borderId="1" xfId="23" applyFont="1" applyFill="1" applyBorder="1" applyAlignment="1">
      <alignment horizontal="center" vertical="center" wrapText="1"/>
      <protection/>
    </xf>
    <xf numFmtId="0" fontId="1" fillId="0" borderId="0" xfId="23" applyFont="1" applyBorder="1" applyAlignment="1">
      <alignment horizontal="center" vertical="center"/>
      <protection/>
    </xf>
    <xf numFmtId="0" fontId="1" fillId="0" borderId="0" xfId="23" applyFont="1" applyBorder="1" applyAlignment="1">
      <alignment horizontal="center" vertical="center" wrapText="1"/>
      <protection/>
    </xf>
    <xf numFmtId="0" fontId="4" fillId="3" borderId="0" xfId="23" applyFont="1" applyFill="1" applyBorder="1">
      <alignment/>
      <protection/>
    </xf>
    <xf numFmtId="0" fontId="1" fillId="3" borderId="0" xfId="23" applyFont="1" applyFill="1" applyBorder="1" applyAlignment="1">
      <alignment horizontal="center"/>
      <protection/>
    </xf>
    <xf numFmtId="0" fontId="1" fillId="3" borderId="0" xfId="23" applyFont="1" applyFill="1" applyBorder="1">
      <alignment/>
      <protection/>
    </xf>
    <xf numFmtId="0" fontId="1" fillId="0" borderId="0" xfId="23" applyFont="1" applyFill="1" applyBorder="1" applyAlignment="1">
      <alignment horizontal="center"/>
      <protection/>
    </xf>
    <xf numFmtId="167" fontId="1" fillId="3" borderId="0" xfId="23" applyNumberFormat="1" applyFont="1" applyFill="1" applyBorder="1" applyAlignment="1">
      <alignment horizontal="center"/>
      <protection/>
    </xf>
    <xf numFmtId="167" fontId="1" fillId="0" borderId="0" xfId="23" applyNumberFormat="1" applyFont="1" applyFill="1" applyBorder="1" applyAlignment="1">
      <alignment horizontal="center"/>
      <protection/>
    </xf>
    <xf numFmtId="0" fontId="4" fillId="0" borderId="0" xfId="23" applyFont="1" applyBorder="1" applyAlignment="1">
      <alignment horizontal="center"/>
      <protection/>
    </xf>
    <xf numFmtId="167" fontId="4" fillId="0" borderId="0" xfId="23" applyNumberFormat="1" applyFont="1" applyFill="1" applyBorder="1" applyAlignment="1">
      <alignment horizontal="center"/>
      <protection/>
    </xf>
    <xf numFmtId="167" fontId="4" fillId="3" borderId="0" xfId="23" applyNumberFormat="1" applyFont="1" applyFill="1" applyBorder="1" applyAlignment="1">
      <alignment horizontal="center"/>
      <protection/>
    </xf>
    <xf numFmtId="0" fontId="1" fillId="3" borderId="0" xfId="0" applyFont="1" applyFill="1" applyAlignment="1">
      <alignment/>
    </xf>
    <xf numFmtId="0" fontId="5" fillId="2" borderId="0" xfId="0" applyFont="1" applyFill="1" applyBorder="1" applyAlignment="1">
      <alignment horizontal="justify"/>
    </xf>
    <xf numFmtId="0" fontId="7" fillId="0" borderId="0" xfId="0" applyFont="1" applyFill="1" applyAlignment="1">
      <alignment horizontal="justify"/>
    </xf>
    <xf numFmtId="0" fontId="1" fillId="0" borderId="0" xfId="0" applyFont="1" applyFill="1" applyAlignment="1">
      <alignment horizontal="justify"/>
    </xf>
    <xf numFmtId="0" fontId="1" fillId="0" borderId="0" xfId="0" applyFont="1" applyAlignment="1">
      <alignment horizontal="justify" vertical="center" wrapText="1"/>
    </xf>
    <xf numFmtId="0" fontId="1" fillId="0" borderId="0" xfId="0" applyFont="1" applyFill="1" applyBorder="1" applyAlignment="1">
      <alignment/>
    </xf>
    <xf numFmtId="0" fontId="1" fillId="0" borderId="0" xfId="0" applyFont="1" applyFill="1" applyBorder="1" applyAlignment="1">
      <alignment horizontal="justify"/>
    </xf>
    <xf numFmtId="0" fontId="1" fillId="0" borderId="0" xfId="0" applyFont="1" applyFill="1" applyAlignment="1">
      <alignment horizontal="right"/>
    </xf>
    <xf numFmtId="0" fontId="18" fillId="2" borderId="0" xfId="21" applyFont="1" applyFill="1" applyAlignment="1">
      <alignment horizontal="left"/>
    </xf>
    <xf numFmtId="0" fontId="16" fillId="2" borderId="0" xfId="0" applyFont="1" applyFill="1" applyAlignment="1">
      <alignment/>
    </xf>
    <xf numFmtId="49" fontId="16" fillId="2" borderId="0" xfId="0" applyNumberFormat="1" applyFont="1" applyFill="1" applyAlignment="1">
      <alignment/>
    </xf>
    <xf numFmtId="0" fontId="16" fillId="2" borderId="0" xfId="0" applyFont="1" applyFill="1" applyAlignment="1">
      <alignment horizontal="right"/>
    </xf>
    <xf numFmtId="49" fontId="16" fillId="2" borderId="0" xfId="0" applyNumberFormat="1" applyFont="1" applyFill="1" applyAlignment="1">
      <alignment horizontal="justify"/>
    </xf>
    <xf numFmtId="0" fontId="18" fillId="2" borderId="0" xfId="21" applyFont="1" applyFill="1" applyAlignment="1">
      <alignment horizontal="left" vertical="center" wrapText="1"/>
    </xf>
    <xf numFmtId="0" fontId="4" fillId="3" borderId="0" xfId="22" applyFont="1" applyFill="1" applyAlignment="1">
      <alignment horizontal="center" vertical="top" wrapText="1"/>
      <protection/>
    </xf>
    <xf numFmtId="0" fontId="31" fillId="0" borderId="0" xfId="0" applyFont="1" applyAlignment="1">
      <alignment/>
    </xf>
    <xf numFmtId="0" fontId="31" fillId="0" borderId="0" xfId="22" applyFont="1" applyAlignment="1">
      <alignment horizontal="center" vertical="top" wrapText="1"/>
      <protection/>
    </xf>
    <xf numFmtId="0" fontId="4" fillId="3" borderId="0" xfId="22" applyFont="1" applyFill="1" applyAlignment="1">
      <alignment horizontal="justify" vertical="center" wrapText="1"/>
      <protection/>
    </xf>
    <xf numFmtId="0" fontId="4" fillId="0" borderId="0" xfId="22" applyFont="1" applyAlignment="1">
      <alignment horizontal="justify" vertical="center" wrapText="1"/>
      <protection/>
    </xf>
    <xf numFmtId="0" fontId="4" fillId="3" borderId="0" xfId="22" applyFont="1" applyFill="1" applyAlignment="1">
      <alignment horizontal="left" vertical="center" wrapText="1"/>
      <protection/>
    </xf>
    <xf numFmtId="0" fontId="31" fillId="0" borderId="0" xfId="22" applyFont="1" applyAlignment="1">
      <alignment horizontal="left" vertical="center" wrapText="1"/>
      <protection/>
    </xf>
    <xf numFmtId="0" fontId="31" fillId="3" borderId="0" xfId="22" applyFont="1" applyFill="1" applyAlignment="1">
      <alignment horizontal="left" vertical="center" wrapText="1"/>
      <protection/>
    </xf>
    <xf numFmtId="0" fontId="1" fillId="0" borderId="0" xfId="22" applyFont="1" applyAlignment="1">
      <alignment/>
      <protection/>
    </xf>
    <xf numFmtId="0" fontId="31" fillId="0" borderId="0" xfId="22" applyFont="1" applyFill="1" applyAlignment="1">
      <alignment horizontal="center" vertical="top" wrapText="1"/>
      <protection/>
    </xf>
    <xf numFmtId="0" fontId="4" fillId="0" borderId="0" xfId="22" applyFont="1" applyFill="1" applyAlignment="1">
      <alignment horizontal="center" vertical="top" wrapText="1"/>
      <protection/>
    </xf>
    <xf numFmtId="0" fontId="4" fillId="3" borderId="0" xfId="22" applyFont="1" applyFill="1" applyBorder="1" applyAlignment="1">
      <alignment horizontal="center" vertical="top" wrapText="1"/>
      <protection/>
    </xf>
    <xf numFmtId="167" fontId="4" fillId="3" borderId="0" xfId="22" applyNumberFormat="1" applyFont="1" applyFill="1" applyAlignment="1">
      <alignment horizontal="center" vertical="top" wrapText="1"/>
      <protection/>
    </xf>
    <xf numFmtId="167" fontId="4" fillId="0" borderId="0" xfId="22" applyNumberFormat="1" applyFont="1" applyFill="1" applyAlignment="1">
      <alignment horizontal="center" vertical="top" wrapText="1"/>
      <protection/>
    </xf>
    <xf numFmtId="169" fontId="4" fillId="3" borderId="0" xfId="15" applyNumberFormat="1" applyFont="1" applyFill="1" applyAlignment="1">
      <alignment horizontal="center" vertical="top" wrapText="1"/>
    </xf>
    <xf numFmtId="170" fontId="4" fillId="0" borderId="0" xfId="15" applyNumberFormat="1" applyFont="1" applyFill="1" applyAlignment="1">
      <alignment horizontal="center" vertical="top" wrapText="1"/>
    </xf>
    <xf numFmtId="170" fontId="4" fillId="3" borderId="0" xfId="15" applyNumberFormat="1" applyFont="1" applyFill="1" applyAlignment="1">
      <alignment horizontal="center" vertical="top" wrapText="1"/>
    </xf>
    <xf numFmtId="170" fontId="4" fillId="3" borderId="0" xfId="15" applyNumberFormat="1" applyFont="1" applyFill="1" applyBorder="1" applyAlignment="1">
      <alignment horizontal="center" vertical="top" wrapText="1"/>
    </xf>
    <xf numFmtId="167" fontId="31" fillId="3" borderId="0" xfId="22" applyNumberFormat="1" applyFont="1" applyFill="1" applyAlignment="1">
      <alignment horizontal="center" vertical="center" wrapText="1"/>
      <protection/>
    </xf>
    <xf numFmtId="167" fontId="4" fillId="3" borderId="0" xfId="22" applyNumberFormat="1" applyFont="1" applyFill="1" applyAlignment="1">
      <alignment horizontal="center" vertical="center" wrapText="1"/>
      <protection/>
    </xf>
    <xf numFmtId="167" fontId="31" fillId="0" borderId="0" xfId="22" applyNumberFormat="1" applyFont="1" applyAlignment="1">
      <alignment horizontal="center" vertical="center" wrapText="1"/>
      <protection/>
    </xf>
    <xf numFmtId="167" fontId="4" fillId="0" borderId="0" xfId="22" applyNumberFormat="1" applyFont="1" applyAlignment="1">
      <alignment horizontal="center" vertical="center" wrapText="1"/>
      <protection/>
    </xf>
    <xf numFmtId="169" fontId="4" fillId="0" borderId="0" xfId="15" applyNumberFormat="1" applyFont="1" applyAlignment="1">
      <alignment horizontal="center" vertical="top" wrapText="1"/>
    </xf>
    <xf numFmtId="169" fontId="4" fillId="3" borderId="3" xfId="15" applyNumberFormat="1" applyFont="1" applyFill="1" applyBorder="1" applyAlignment="1">
      <alignment horizontal="center" vertical="top" wrapText="1"/>
    </xf>
    <xf numFmtId="43" fontId="4" fillId="3" borderId="0" xfId="15" applyNumberFormat="1" applyFont="1" applyFill="1" applyAlignment="1">
      <alignment vertical="top" wrapText="1"/>
    </xf>
    <xf numFmtId="43" fontId="4" fillId="0" borderId="0" xfId="15" applyNumberFormat="1" applyFont="1" applyAlignment="1">
      <alignment vertical="top" wrapText="1"/>
    </xf>
    <xf numFmtId="170" fontId="4" fillId="3" borderId="0" xfId="15" applyNumberFormat="1" applyFont="1" applyFill="1" applyAlignment="1">
      <alignment horizontal="center" vertical="center" wrapText="1"/>
    </xf>
    <xf numFmtId="170" fontId="4" fillId="3" borderId="0" xfId="15" applyNumberFormat="1" applyFont="1" applyFill="1" applyBorder="1" applyAlignment="1">
      <alignment horizontal="center" vertical="center" wrapText="1"/>
    </xf>
    <xf numFmtId="0" fontId="29" fillId="0" borderId="0" xfId="0" applyFont="1" applyAlignment="1">
      <alignment horizontal="justify"/>
    </xf>
    <xf numFmtId="0" fontId="30" fillId="0" borderId="0" xfId="0" applyFont="1" applyAlignment="1">
      <alignment horizontal="justify"/>
    </xf>
    <xf numFmtId="0" fontId="4" fillId="3" borderId="1" xfId="23" applyFont="1" applyFill="1" applyBorder="1" applyAlignment="1">
      <alignment horizontal="center" vertical="center" wrapText="1"/>
      <protection/>
    </xf>
    <xf numFmtId="0" fontId="29" fillId="0" borderId="0" xfId="0" applyFont="1" applyAlignment="1">
      <alignment horizontal="justify" vertical="top" wrapText="1"/>
    </xf>
    <xf numFmtId="0" fontId="34" fillId="0" borderId="0" xfId="22" applyFont="1" applyAlignment="1">
      <alignment horizontal="justify" vertical="top" wrapText="1"/>
      <protection/>
    </xf>
    <xf numFmtId="0" fontId="1" fillId="0" borderId="0" xfId="0" applyFont="1" applyAlignment="1">
      <alignment horizontal="left"/>
    </xf>
    <xf numFmtId="0" fontId="4" fillId="3" borderId="0" xfId="0" applyFont="1" applyFill="1" applyAlignment="1">
      <alignment horizontal="center" wrapText="1"/>
    </xf>
    <xf numFmtId="49" fontId="4" fillId="0" borderId="0" xfId="23" applyNumberFormat="1" applyFont="1" applyFill="1" applyBorder="1" applyAlignment="1">
      <alignment horizontal="left" wrapText="1"/>
      <protection/>
    </xf>
    <xf numFmtId="0" fontId="31" fillId="0" borderId="0" xfId="0" applyFont="1" applyAlignment="1">
      <alignment horizontal="justify" vertical="top" wrapText="1"/>
    </xf>
    <xf numFmtId="0" fontId="4" fillId="3" borderId="0" xfId="0" applyFont="1" applyFill="1" applyBorder="1" applyAlignment="1">
      <alignment horizontal="center" wrapText="1"/>
    </xf>
    <xf numFmtId="0" fontId="27" fillId="3" borderId="0" xfId="0" applyFont="1" applyFill="1" applyAlignment="1">
      <alignment horizontal="center" wrapText="1"/>
    </xf>
    <xf numFmtId="49" fontId="28" fillId="3" borderId="1"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4" fillId="0" borderId="0" xfId="0" applyFont="1" applyFill="1" applyAlignment="1">
      <alignment horizontal="right" vertical="top" wrapText="1"/>
    </xf>
    <xf numFmtId="0" fontId="4" fillId="3" borderId="0" xfId="0" applyFont="1" applyFill="1" applyAlignment="1">
      <alignment horizontal="center" vertical="top" wrapText="1"/>
    </xf>
    <xf numFmtId="189" fontId="4" fillId="3" borderId="0" xfId="17" applyFont="1" applyFill="1" applyAlignment="1">
      <alignment horizontal="right"/>
    </xf>
    <xf numFmtId="0" fontId="4" fillId="3" borderId="0" xfId="0" applyFont="1" applyFill="1" applyAlignment="1">
      <alignment horizontal="right" vertical="top" wrapText="1"/>
    </xf>
    <xf numFmtId="180" fontId="4" fillId="3" borderId="0" xfId="17" applyNumberFormat="1" applyFont="1" applyFill="1" applyAlignment="1">
      <alignment horizontal="right"/>
    </xf>
    <xf numFmtId="2" fontId="4" fillId="3" borderId="0" xfId="23" applyNumberFormat="1" applyFont="1" applyFill="1" applyAlignment="1">
      <alignment horizontal="right"/>
      <protection/>
    </xf>
    <xf numFmtId="189" fontId="4" fillId="0" borderId="0" xfId="17" applyFont="1" applyAlignment="1">
      <alignment horizontal="right"/>
    </xf>
    <xf numFmtId="180" fontId="4" fillId="0" borderId="0" xfId="17" applyNumberFormat="1" applyFont="1" applyFill="1" applyAlignment="1">
      <alignment horizontal="right"/>
    </xf>
    <xf numFmtId="0" fontId="4" fillId="3" borderId="0" xfId="0" applyFont="1" applyFill="1" applyBorder="1" applyAlignment="1">
      <alignment horizontal="center" vertical="top" wrapText="1"/>
    </xf>
    <xf numFmtId="0" fontId="4" fillId="3" borderId="0" xfId="0" applyFont="1" applyFill="1" applyBorder="1" applyAlignment="1">
      <alignment horizontal="right" vertical="top" wrapText="1"/>
    </xf>
    <xf numFmtId="0" fontId="4" fillId="0" borderId="1" xfId="0" applyFont="1" applyFill="1" applyBorder="1" applyAlignment="1">
      <alignment horizontal="justify"/>
    </xf>
    <xf numFmtId="0" fontId="31" fillId="0" borderId="1" xfId="0" applyFont="1" applyFill="1" applyBorder="1" applyAlignment="1">
      <alignment horizontal="right"/>
    </xf>
    <xf numFmtId="49" fontId="4" fillId="0" borderId="0" xfId="23" applyNumberFormat="1" applyFont="1" applyBorder="1" applyAlignment="1">
      <alignment horizontal="left" wrapText="1"/>
      <protection/>
    </xf>
    <xf numFmtId="0" fontId="4" fillId="0" borderId="0" xfId="23" applyFont="1" applyAlignment="1">
      <alignment horizontal="right" wrapText="1"/>
      <protection/>
    </xf>
    <xf numFmtId="3" fontId="4" fillId="0" borderId="0" xfId="23" applyNumberFormat="1" applyFont="1" applyBorder="1" applyAlignment="1">
      <alignment horizontal="right" wrapText="1"/>
      <protection/>
    </xf>
    <xf numFmtId="0" fontId="4" fillId="0" borderId="0" xfId="23" applyFont="1" applyAlignment="1">
      <alignment horizontal="right"/>
      <protection/>
    </xf>
    <xf numFmtId="2" fontId="4" fillId="0" borderId="0" xfId="17" applyNumberFormat="1" applyFont="1" applyAlignment="1">
      <alignment horizontal="center" vertical="center"/>
    </xf>
    <xf numFmtId="2" fontId="4" fillId="0" borderId="0" xfId="23" applyNumberFormat="1" applyFont="1" applyAlignment="1">
      <alignment horizontal="center" wrapText="1"/>
      <protection/>
    </xf>
    <xf numFmtId="2" fontId="4" fillId="0" borderId="0" xfId="23" applyNumberFormat="1" applyFont="1" applyBorder="1" applyAlignment="1">
      <alignment horizontal="center" wrapText="1"/>
      <protection/>
    </xf>
    <xf numFmtId="2" fontId="4" fillId="0" borderId="0" xfId="17" applyNumberFormat="1" applyFont="1" applyAlignment="1">
      <alignment horizontal="center"/>
    </xf>
    <xf numFmtId="0" fontId="4" fillId="0" borderId="0" xfId="23" applyFont="1" applyFill="1" applyAlignment="1">
      <alignment horizontal="left" vertical="center" wrapText="1"/>
      <protection/>
    </xf>
    <xf numFmtId="0" fontId="4" fillId="0" borderId="0" xfId="23" applyFont="1" applyFill="1" applyAlignment="1">
      <alignment horizontal="center" vertical="center" wrapText="1"/>
      <protection/>
    </xf>
    <xf numFmtId="170" fontId="4" fillId="0" borderId="0" xfId="15" applyNumberFormat="1" applyFont="1" applyAlignment="1">
      <alignment horizontal="right"/>
    </xf>
    <xf numFmtId="49" fontId="4" fillId="3" borderId="0" xfId="23" applyNumberFormat="1" applyFont="1" applyFill="1" applyBorder="1" applyAlignment="1">
      <alignment horizontal="left" wrapText="1"/>
      <protection/>
    </xf>
    <xf numFmtId="2" fontId="4" fillId="3" borderId="0" xfId="17" applyNumberFormat="1" applyFont="1" applyFill="1" applyAlignment="1">
      <alignment horizontal="center" vertical="center"/>
    </xf>
    <xf numFmtId="2" fontId="4" fillId="3" borderId="0" xfId="23" applyNumberFormat="1" applyFont="1" applyFill="1" applyAlignment="1">
      <alignment horizontal="center" wrapText="1"/>
      <protection/>
    </xf>
    <xf numFmtId="0" fontId="4" fillId="3" borderId="0" xfId="23" applyFont="1" applyFill="1" applyAlignment="1">
      <alignment horizontal="right" wrapText="1"/>
      <protection/>
    </xf>
    <xf numFmtId="2" fontId="4" fillId="3" borderId="0" xfId="23" applyNumberFormat="1" applyFont="1" applyFill="1" applyAlignment="1">
      <alignment horizontal="center"/>
      <protection/>
    </xf>
    <xf numFmtId="49" fontId="4" fillId="3" borderId="0" xfId="23" applyNumberFormat="1" applyFont="1" applyFill="1" applyAlignment="1">
      <alignment horizontal="right"/>
      <protection/>
    </xf>
    <xf numFmtId="0" fontId="4" fillId="3" borderId="0" xfId="23" applyFont="1" applyFill="1" applyAlignment="1">
      <alignment horizontal="right"/>
      <protection/>
    </xf>
    <xf numFmtId="2" fontId="4" fillId="3" borderId="0" xfId="23" applyNumberFormat="1" applyFont="1" applyFill="1" applyBorder="1" applyAlignment="1">
      <alignment horizontal="center" wrapText="1"/>
      <protection/>
    </xf>
    <xf numFmtId="2" fontId="4" fillId="3" borderId="0" xfId="17" applyNumberFormat="1" applyFont="1" applyFill="1" applyAlignment="1">
      <alignment horizontal="center"/>
    </xf>
    <xf numFmtId="170" fontId="4" fillId="3" borderId="0" xfId="15" applyNumberFormat="1" applyFont="1" applyFill="1" applyAlignment="1">
      <alignment/>
    </xf>
    <xf numFmtId="43" fontId="4" fillId="3" borderId="0" xfId="15" applyNumberFormat="1" applyFont="1" applyFill="1" applyAlignment="1">
      <alignment horizontal="right"/>
    </xf>
    <xf numFmtId="49" fontId="4" fillId="0" borderId="1" xfId="23" applyNumberFormat="1" applyFont="1" applyBorder="1" applyAlignment="1">
      <alignment horizontal="left" wrapText="1"/>
      <protection/>
    </xf>
    <xf numFmtId="2" fontId="4" fillId="0" borderId="1" xfId="23" applyNumberFormat="1" applyFont="1" applyBorder="1" applyAlignment="1">
      <alignment horizontal="center" wrapText="1"/>
      <protection/>
    </xf>
    <xf numFmtId="2" fontId="4" fillId="0" borderId="1" xfId="17" applyNumberFormat="1" applyFont="1" applyBorder="1" applyAlignment="1">
      <alignment horizontal="center"/>
    </xf>
    <xf numFmtId="3" fontId="4" fillId="0" borderId="1" xfId="23" applyNumberFormat="1" applyFont="1" applyBorder="1" applyAlignment="1">
      <alignment horizontal="right" wrapText="1"/>
      <protection/>
    </xf>
    <xf numFmtId="170" fontId="4" fillId="0" borderId="1" xfId="15" applyNumberFormat="1" applyFont="1" applyBorder="1" applyAlignment="1">
      <alignment horizontal="right"/>
    </xf>
    <xf numFmtId="0" fontId="4" fillId="0" borderId="1" xfId="23" applyFont="1" applyBorder="1" applyAlignment="1">
      <alignment horizontal="right"/>
      <protection/>
    </xf>
    <xf numFmtId="0" fontId="4" fillId="3" borderId="1" xfId="23" applyFont="1" applyFill="1" applyBorder="1" applyAlignment="1">
      <alignment horizontal="right"/>
      <protection/>
    </xf>
    <xf numFmtId="170" fontId="4" fillId="3" borderId="1" xfId="15" applyNumberFormat="1" applyFont="1" applyFill="1" applyBorder="1" applyAlignment="1">
      <alignment horizontal="right"/>
    </xf>
    <xf numFmtId="170" fontId="4" fillId="3" borderId="1" xfId="15" applyNumberFormat="1" applyFont="1" applyFill="1" applyBorder="1" applyAlignment="1">
      <alignment/>
    </xf>
    <xf numFmtId="3" fontId="4" fillId="0" borderId="5" xfId="23" applyNumberFormat="1" applyFont="1" applyBorder="1" applyAlignment="1">
      <alignment horizontal="right" wrapText="1"/>
      <protection/>
    </xf>
    <xf numFmtId="0" fontId="4" fillId="0" borderId="5" xfId="23" applyFont="1" applyBorder="1" applyAlignment="1">
      <alignment horizontal="right"/>
      <protection/>
    </xf>
    <xf numFmtId="189" fontId="4" fillId="0" borderId="5" xfId="17" applyFont="1" applyBorder="1" applyAlignment="1">
      <alignment horizontal="right"/>
    </xf>
    <xf numFmtId="180" fontId="4" fillId="0" borderId="5" xfId="17" applyNumberFormat="1" applyFont="1" applyBorder="1" applyAlignment="1">
      <alignment horizontal="right"/>
    </xf>
    <xf numFmtId="0" fontId="4" fillId="0" borderId="0" xfId="23" applyFont="1" applyFill="1" applyBorder="1" applyAlignment="1">
      <alignment horizontal="right"/>
      <protection/>
    </xf>
    <xf numFmtId="170" fontId="4" fillId="0" borderId="0" xfId="15" applyNumberFormat="1" applyFont="1" applyFill="1" applyBorder="1" applyAlignment="1">
      <alignment/>
    </xf>
    <xf numFmtId="0" fontId="0" fillId="0" borderId="0" xfId="0" applyAlignment="1">
      <alignment horizontal="left"/>
    </xf>
    <xf numFmtId="0" fontId="25" fillId="0" borderId="0" xfId="0" applyFont="1" applyBorder="1" applyAlignment="1">
      <alignment/>
    </xf>
    <xf numFmtId="0" fontId="0" fillId="0" borderId="0" xfId="0" applyBorder="1" applyAlignment="1">
      <alignment horizontal="justify"/>
    </xf>
    <xf numFmtId="0" fontId="4" fillId="3" borderId="1" xfId="23" applyFont="1" applyFill="1" applyBorder="1" applyAlignment="1">
      <alignment horizontal="left" vertical="center" wrapText="1"/>
      <protection/>
    </xf>
    <xf numFmtId="0" fontId="25" fillId="0" borderId="0" xfId="0" applyFont="1" applyFill="1" applyBorder="1" applyAlignment="1">
      <alignment/>
    </xf>
    <xf numFmtId="0" fontId="0" fillId="0" borderId="0" xfId="0" applyFill="1" applyBorder="1" applyAlignment="1">
      <alignment horizontal="justify"/>
    </xf>
    <xf numFmtId="0" fontId="16" fillId="2" borderId="0" xfId="0" applyFont="1" applyFill="1" applyAlignment="1">
      <alignment horizontal="right" vertical="center"/>
    </xf>
    <xf numFmtId="0" fontId="16" fillId="2" borderId="0" xfId="0" applyFont="1" applyFill="1" applyAlignment="1">
      <alignment horizontal="right" vertical="center" wrapText="1"/>
    </xf>
    <xf numFmtId="0" fontId="29" fillId="0" borderId="0" xfId="23" applyFont="1" applyAlignment="1">
      <alignment horizontal="left" vertical="center" wrapText="1"/>
      <protection/>
    </xf>
    <xf numFmtId="0" fontId="31" fillId="0" borderId="0" xfId="0" applyFont="1" applyFill="1" applyBorder="1" applyAlignment="1">
      <alignment horizontal="justify" vertical="top" wrapText="1"/>
    </xf>
    <xf numFmtId="0" fontId="31" fillId="0" borderId="0" xfId="0" applyFont="1" applyBorder="1" applyAlignment="1">
      <alignment horizontal="justify" vertical="top" wrapText="1"/>
    </xf>
    <xf numFmtId="170" fontId="4" fillId="3" borderId="0" xfId="15" applyNumberFormat="1" applyFont="1" applyFill="1" applyBorder="1" applyAlignment="1">
      <alignment/>
    </xf>
    <xf numFmtId="43" fontId="0" fillId="0" borderId="0" xfId="15" applyNumberFormat="1" applyFill="1" applyBorder="1" applyAlignment="1">
      <alignment/>
    </xf>
    <xf numFmtId="49" fontId="4" fillId="0" borderId="0" xfId="0" applyNumberFormat="1" applyFont="1" applyFill="1" applyBorder="1" applyAlignment="1">
      <alignment horizontal="center" vertical="center" wrapText="1"/>
    </xf>
    <xf numFmtId="170" fontId="1" fillId="0" borderId="0" xfId="15" applyNumberFormat="1" applyFont="1" applyFill="1" applyBorder="1" applyAlignment="1">
      <alignment horizontal="righ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3" fontId="0" fillId="0" borderId="0" xfId="0" applyNumberFormat="1" applyFill="1" applyBorder="1" applyAlignment="1">
      <alignment horizontal="justify"/>
    </xf>
    <xf numFmtId="43" fontId="4" fillId="0" borderId="0" xfId="15" applyNumberFormat="1" applyFont="1" applyFill="1" applyAlignment="1">
      <alignment horizontal="center" vertical="top" wrapText="1"/>
    </xf>
    <xf numFmtId="43" fontId="4" fillId="0" borderId="0" xfId="15" applyNumberFormat="1" applyFont="1" applyFill="1" applyAlignment="1">
      <alignment horizontal="center" vertical="center" wrapText="1"/>
    </xf>
    <xf numFmtId="170" fontId="4" fillId="0" borderId="0" xfId="15" applyNumberFormat="1" applyFont="1" applyFill="1" applyBorder="1" applyAlignment="1">
      <alignment horizontal="center" vertical="top" wrapText="1"/>
    </xf>
    <xf numFmtId="170" fontId="4" fillId="0" borderId="1" xfId="15" applyNumberFormat="1" applyFont="1" applyFill="1" applyBorder="1" applyAlignment="1">
      <alignment horizontal="right" vertical="top" wrapText="1"/>
    </xf>
    <xf numFmtId="43" fontId="4" fillId="3" borderId="0" xfId="15" applyNumberFormat="1" applyFont="1" applyFill="1" applyAlignment="1">
      <alignment horizontal="center" vertical="top" wrapText="1"/>
    </xf>
    <xf numFmtId="43" fontId="4" fillId="3" borderId="0" xfId="15" applyNumberFormat="1" applyFont="1" applyFill="1" applyAlignment="1">
      <alignment horizontal="center" vertical="center" wrapText="1"/>
    </xf>
    <xf numFmtId="0" fontId="18" fillId="0" borderId="0" xfId="23" applyFont="1" applyBorder="1" applyAlignment="1">
      <alignment horizontal="left"/>
      <protection/>
    </xf>
    <xf numFmtId="167" fontId="4" fillId="0" borderId="0" xfId="0" applyNumberFormat="1" applyFont="1" applyFill="1" applyAlignment="1">
      <alignment horizontal="right" vertical="top" wrapText="1"/>
    </xf>
    <xf numFmtId="0" fontId="4" fillId="0" borderId="0" xfId="0" applyFont="1" applyFill="1" applyAlignment="1">
      <alignment horizontal="justify" vertical="justify"/>
    </xf>
    <xf numFmtId="0" fontId="1" fillId="0" borderId="0" xfId="0" applyFont="1" applyAlignment="1">
      <alignment vertical="top"/>
    </xf>
    <xf numFmtId="0" fontId="6" fillId="0" borderId="0" xfId="21" applyFont="1" applyFill="1" applyAlignment="1">
      <alignment horizontal="left"/>
    </xf>
    <xf numFmtId="2" fontId="4" fillId="0" borderId="0" xfId="23" applyNumberFormat="1" applyFont="1" applyFill="1" applyBorder="1" applyAlignment="1">
      <alignment horizontal="center" wrapText="1"/>
      <protection/>
    </xf>
    <xf numFmtId="0" fontId="4" fillId="0" borderId="0" xfId="23" applyFont="1" applyFill="1" applyBorder="1" applyAlignment="1">
      <alignment horizontal="left" vertical="center" wrapText="1"/>
      <protection/>
    </xf>
    <xf numFmtId="0" fontId="4" fillId="0" borderId="0" xfId="23" applyFont="1" applyFill="1" applyBorder="1" applyAlignment="1">
      <alignment horizontal="center" vertical="center" wrapText="1"/>
      <protection/>
    </xf>
    <xf numFmtId="0" fontId="4" fillId="0" borderId="0" xfId="23" applyFont="1" applyFill="1" applyBorder="1" applyAlignment="1">
      <alignment horizontal="right" wrapText="1"/>
      <protection/>
    </xf>
    <xf numFmtId="2" fontId="4" fillId="0" borderId="0" xfId="17" applyNumberFormat="1" applyFont="1" applyFill="1" applyBorder="1" applyAlignment="1">
      <alignment horizontal="center"/>
    </xf>
    <xf numFmtId="189" fontId="4" fillId="0" borderId="0" xfId="17" applyFont="1" applyFill="1" applyBorder="1" applyAlignment="1">
      <alignment horizontal="right"/>
    </xf>
    <xf numFmtId="180" fontId="4" fillId="0" borderId="0" xfId="17" applyNumberFormat="1" applyFont="1" applyFill="1" applyBorder="1" applyAlignment="1">
      <alignment horizontal="right"/>
    </xf>
    <xf numFmtId="0" fontId="0" fillId="0" borderId="0" xfId="0" applyFill="1" applyBorder="1" applyAlignment="1">
      <alignment vertical="center" wrapText="1"/>
    </xf>
    <xf numFmtId="170" fontId="4" fillId="3" borderId="0" xfId="15" applyNumberFormat="1" applyFont="1" applyFill="1" applyBorder="1" applyAlignment="1">
      <alignment horizontal="right"/>
    </xf>
    <xf numFmtId="2" fontId="4" fillId="0" borderId="0" xfId="17" applyNumberFormat="1" applyFont="1" applyBorder="1" applyAlignment="1">
      <alignment horizontal="center"/>
    </xf>
    <xf numFmtId="170" fontId="4" fillId="0" borderId="0" xfId="15" applyNumberFormat="1" applyFont="1" applyBorder="1" applyAlignment="1">
      <alignment horizontal="right"/>
    </xf>
    <xf numFmtId="49" fontId="4" fillId="3" borderId="1" xfId="23" applyNumberFormat="1" applyFont="1" applyFill="1" applyBorder="1" applyAlignment="1">
      <alignment horizontal="left" wrapText="1"/>
      <protection/>
    </xf>
    <xf numFmtId="0" fontId="0" fillId="3" borderId="1" xfId="0" applyFill="1" applyBorder="1" applyAlignment="1">
      <alignment/>
    </xf>
    <xf numFmtId="3" fontId="4" fillId="3" borderId="1" xfId="0" applyNumberFormat="1" applyFont="1" applyFill="1" applyBorder="1" applyAlignment="1">
      <alignment/>
    </xf>
    <xf numFmtId="0" fontId="0" fillId="0" borderId="0" xfId="0" applyFill="1" applyBorder="1" applyAlignment="1">
      <alignment/>
    </xf>
    <xf numFmtId="3" fontId="4" fillId="0" borderId="0" xfId="0" applyNumberFormat="1" applyFont="1" applyFill="1" applyBorder="1" applyAlignment="1">
      <alignment/>
    </xf>
    <xf numFmtId="0" fontId="27" fillId="3" borderId="0" xfId="0" applyFont="1" applyFill="1" applyAlignment="1">
      <alignment horizontal="center" vertical="center" wrapText="1"/>
    </xf>
    <xf numFmtId="3" fontId="4" fillId="0" borderId="0" xfId="0" applyNumberFormat="1" applyFont="1" applyFill="1" applyBorder="1" applyAlignment="1">
      <alignment horizontal="right"/>
    </xf>
    <xf numFmtId="2" fontId="4" fillId="0" borderId="0" xfId="17" applyNumberFormat="1" applyFont="1" applyFill="1" applyBorder="1" applyAlignment="1">
      <alignment horizontal="right" vertical="center"/>
    </xf>
    <xf numFmtId="0" fontId="6" fillId="0" borderId="0" xfId="21" applyFont="1" applyFill="1" applyAlignment="1">
      <alignment horizontal="left" vertical="top"/>
    </xf>
    <xf numFmtId="0" fontId="0" fillId="0" borderId="0" xfId="0" applyFont="1" applyAlignment="1">
      <alignment horizontal="justify"/>
    </xf>
    <xf numFmtId="0" fontId="41" fillId="3" borderId="0" xfId="0" applyFont="1" applyFill="1" applyAlignment="1">
      <alignment horizontal="left"/>
    </xf>
    <xf numFmtId="0" fontId="0" fillId="0" borderId="0" xfId="0" applyFont="1" applyAlignment="1">
      <alignment/>
    </xf>
    <xf numFmtId="0" fontId="42" fillId="2" borderId="0" xfId="21" applyFont="1" applyFill="1" applyAlignment="1">
      <alignment horizontal="justify"/>
    </xf>
    <xf numFmtId="0" fontId="29" fillId="0" borderId="0" xfId="0" applyFont="1" applyFill="1" applyAlignment="1">
      <alignment horizontal="justify" vertical="top" wrapText="1"/>
    </xf>
    <xf numFmtId="167" fontId="4" fillId="0" borderId="0" xfId="0" applyNumberFormat="1" applyFont="1" applyAlignment="1">
      <alignment horizontal="right"/>
    </xf>
    <xf numFmtId="167" fontId="4" fillId="3" borderId="0" xfId="0" applyNumberFormat="1" applyFont="1" applyFill="1" applyAlignment="1">
      <alignment horizontal="right"/>
    </xf>
    <xf numFmtId="3" fontId="4" fillId="0" borderId="0" xfId="0" applyNumberFormat="1" applyFont="1" applyAlignment="1">
      <alignment/>
    </xf>
    <xf numFmtId="3" fontId="4" fillId="0" borderId="0" xfId="0" applyNumberFormat="1" applyFont="1" applyAlignment="1">
      <alignment horizontal="justify"/>
    </xf>
    <xf numFmtId="3" fontId="4" fillId="0" borderId="0" xfId="0" applyNumberFormat="1" applyFont="1" applyAlignment="1">
      <alignment horizontal="right"/>
    </xf>
    <xf numFmtId="0" fontId="27" fillId="3" borderId="1" xfId="23" applyFont="1" applyFill="1" applyBorder="1" applyAlignment="1">
      <alignment horizontal="center" vertical="center" wrapText="1"/>
      <protection/>
    </xf>
    <xf numFmtId="0" fontId="27" fillId="3" borderId="2" xfId="0" applyFont="1" applyFill="1" applyBorder="1" applyAlignment="1">
      <alignment horizontal="center" vertical="center" wrapText="1"/>
    </xf>
    <xf numFmtId="0" fontId="27"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0" borderId="1" xfId="0" applyFont="1" applyBorder="1" applyAlignment="1">
      <alignment vertical="top" wrapText="1"/>
    </xf>
    <xf numFmtId="0" fontId="4" fillId="0" borderId="0" xfId="0" applyFont="1" applyAlignment="1">
      <alignment horizontal="left"/>
    </xf>
    <xf numFmtId="0" fontId="10" fillId="2" borderId="0" xfId="0" applyFont="1" applyFill="1" applyAlignment="1">
      <alignment horizontal="right"/>
    </xf>
    <xf numFmtId="0" fontId="6" fillId="0" borderId="0" xfId="21" applyFont="1" applyFill="1" applyAlignment="1">
      <alignment horizontal="right"/>
    </xf>
    <xf numFmtId="0" fontId="4" fillId="0" borderId="0" xfId="0" applyFont="1" applyAlignment="1">
      <alignment horizontal="justify" vertical="justify" wrapText="1"/>
    </xf>
    <xf numFmtId="0" fontId="1" fillId="0" borderId="0" xfId="0" applyFont="1" applyBorder="1" applyAlignment="1">
      <alignment horizontal="center"/>
    </xf>
    <xf numFmtId="0" fontId="4" fillId="0" borderId="0" xfId="0" applyFont="1" applyAlignment="1">
      <alignment horizontal="left" vertical="top" wrapText="1"/>
    </xf>
    <xf numFmtId="0" fontId="4" fillId="0" borderId="0" xfId="0" applyFont="1" applyFill="1" applyAlignment="1">
      <alignment horizontal="left" vertical="center" wrapText="1"/>
    </xf>
    <xf numFmtId="0" fontId="4" fillId="3" borderId="0" xfId="23" applyFont="1" applyFill="1" applyBorder="1" applyAlignment="1">
      <alignment horizontal="center" vertical="center" wrapText="1"/>
      <protection/>
    </xf>
    <xf numFmtId="0" fontId="0" fillId="0" borderId="0" xfId="0" applyAlignment="1">
      <alignment horizontal="justify" vertical="center"/>
    </xf>
    <xf numFmtId="0" fontId="29" fillId="0" borderId="0" xfId="23" applyFont="1" applyBorder="1" applyAlignment="1">
      <alignment horizontal="left" vertical="center" wrapText="1"/>
      <protection/>
    </xf>
    <xf numFmtId="0" fontId="23" fillId="0" borderId="0" xfId="23" applyFont="1" applyBorder="1" applyAlignment="1">
      <alignment horizontal="center"/>
      <protection/>
    </xf>
    <xf numFmtId="0" fontId="4" fillId="0" borderId="0" xfId="23" applyFont="1" applyBorder="1" applyAlignment="1">
      <alignment horizontal="center" vertical="center"/>
      <protection/>
    </xf>
    <xf numFmtId="0" fontId="4" fillId="0" borderId="0" xfId="23" applyFont="1" applyBorder="1" applyAlignment="1">
      <alignment horizontal="center" vertical="center" wrapText="1"/>
      <protection/>
    </xf>
    <xf numFmtId="0" fontId="29" fillId="0" borderId="0" xfId="23" applyFont="1" applyBorder="1" applyAlignment="1">
      <alignment vertical="center" wrapText="1"/>
      <protection/>
    </xf>
    <xf numFmtId="0" fontId="10" fillId="0" borderId="0" xfId="0" applyFont="1" applyFill="1" applyAlignment="1">
      <alignment horizontal="right"/>
    </xf>
    <xf numFmtId="0" fontId="4" fillId="0" borderId="0" xfId="0" applyFont="1" applyFill="1" applyAlignment="1">
      <alignment horizontal="justify" vertical="justify" wrapText="1"/>
    </xf>
    <xf numFmtId="0" fontId="6" fillId="0" borderId="0" xfId="21" applyFont="1" applyFill="1" applyAlignment="1">
      <alignment horizontal="left"/>
    </xf>
    <xf numFmtId="0" fontId="4" fillId="0" borderId="0" xfId="0" applyFont="1" applyAlignment="1">
      <alignment horizontal="justify" vertical="top" wrapText="1"/>
    </xf>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213" fontId="1" fillId="0" borderId="0" xfId="0" applyNumberFormat="1" applyFont="1" applyFill="1" applyAlignment="1">
      <alignment/>
    </xf>
    <xf numFmtId="170" fontId="0" fillId="0" borderId="0" xfId="0" applyNumberFormat="1" applyFill="1" applyAlignment="1">
      <alignment/>
    </xf>
    <xf numFmtId="0" fontId="4" fillId="2" borderId="0" xfId="22" applyFont="1" applyFill="1" applyAlignment="1">
      <alignment horizontal="center" vertical="top" wrapText="1"/>
      <protection/>
    </xf>
    <xf numFmtId="0" fontId="29" fillId="0" borderId="0" xfId="22" applyFont="1" applyBorder="1" applyAlignment="1">
      <alignment horizontal="left"/>
      <protection/>
    </xf>
    <xf numFmtId="0" fontId="38" fillId="0" borderId="0" xfId="21" applyFont="1" applyBorder="1" applyAlignment="1">
      <alignment horizontal="left"/>
    </xf>
    <xf numFmtId="43" fontId="4" fillId="3" borderId="0" xfId="15" applyNumberFormat="1" applyFont="1" applyFill="1" applyAlignment="1">
      <alignment horizontal="right" vertical="top" wrapText="1"/>
    </xf>
    <xf numFmtId="43" fontId="4" fillId="0" borderId="0" xfId="15" applyNumberFormat="1" applyFont="1" applyAlignment="1">
      <alignment horizontal="right" vertical="top" wrapText="1"/>
    </xf>
    <xf numFmtId="0" fontId="4" fillId="0" borderId="0" xfId="0" applyFont="1" applyAlignment="1">
      <alignment/>
    </xf>
    <xf numFmtId="0" fontId="4" fillId="0" borderId="0" xfId="0" applyFont="1" applyFill="1" applyAlignment="1">
      <alignment horizontal="left" vertical="top" wrapText="1"/>
    </xf>
    <xf numFmtId="0" fontId="15" fillId="0" borderId="0" xfId="23" applyFont="1" applyAlignment="1">
      <alignment horizontal="center"/>
      <protection/>
    </xf>
    <xf numFmtId="0" fontId="29" fillId="0" borderId="0" xfId="23" applyFont="1" applyAlignment="1">
      <alignment horizontal="left" vertical="center" wrapText="1"/>
      <protection/>
    </xf>
    <xf numFmtId="0" fontId="4" fillId="3" borderId="2" xfId="23" applyFont="1" applyFill="1" applyBorder="1" applyAlignment="1">
      <alignment horizontal="center" vertical="center" wrapText="1"/>
      <protection/>
    </xf>
    <xf numFmtId="0" fontId="4" fillId="3" borderId="1" xfId="23" applyFont="1" applyFill="1" applyBorder="1" applyAlignment="1">
      <alignment horizontal="center" vertical="center" wrapText="1"/>
      <protection/>
    </xf>
    <xf numFmtId="0" fontId="4" fillId="3" borderId="2" xfId="23" applyFont="1" applyFill="1" applyBorder="1" applyAlignment="1">
      <alignment horizontal="center" vertical="center"/>
      <protection/>
    </xf>
    <xf numFmtId="0" fontId="4" fillId="3" borderId="0" xfId="23" applyFont="1" applyFill="1" applyBorder="1" applyAlignment="1">
      <alignment horizontal="center" vertical="center"/>
      <protection/>
    </xf>
    <xf numFmtId="0" fontId="4" fillId="0" borderId="0" xfId="0" applyFont="1" applyAlignment="1">
      <alignment horizontal="left" wrapText="1"/>
    </xf>
    <xf numFmtId="0" fontId="6" fillId="0" borderId="0" xfId="21" applyFont="1" applyAlignment="1">
      <alignment horizontal="right"/>
    </xf>
    <xf numFmtId="0" fontId="29" fillId="0" borderId="0" xfId="23" applyFont="1" applyAlignment="1">
      <alignment vertical="center" wrapText="1"/>
      <protection/>
    </xf>
    <xf numFmtId="0" fontId="4" fillId="0" borderId="0" xfId="0" applyFont="1" applyAlignment="1">
      <alignment wrapText="1"/>
    </xf>
    <xf numFmtId="0" fontId="18" fillId="0" borderId="0" xfId="22" applyFont="1" applyFill="1" applyBorder="1" applyAlignment="1">
      <alignment horizontal="left" wrapText="1"/>
      <protection/>
    </xf>
    <xf numFmtId="0" fontId="18" fillId="0" borderId="0" xfId="22" applyFont="1" applyAlignment="1">
      <alignment horizontal="left"/>
      <protection/>
    </xf>
    <xf numFmtId="0" fontId="18" fillId="0" borderId="0" xfId="22" applyFont="1" applyAlignment="1">
      <alignment horizontal="left" vertical="center" wrapText="1"/>
      <protection/>
    </xf>
    <xf numFmtId="0" fontId="19" fillId="3" borderId="0" xfId="0" applyFont="1" applyFill="1" applyAlignment="1">
      <alignment horizontal="center"/>
    </xf>
    <xf numFmtId="0" fontId="8" fillId="3" borderId="0" xfId="0" applyFont="1" applyFill="1" applyAlignment="1">
      <alignment horizontal="center"/>
    </xf>
    <xf numFmtId="0" fontId="18" fillId="2" borderId="0" xfId="0" applyFont="1" applyFill="1" applyAlignment="1">
      <alignment/>
    </xf>
    <xf numFmtId="0" fontId="18" fillId="0" borderId="0" xfId="23" applyFont="1" applyBorder="1" applyAlignment="1">
      <alignment horizontal="left"/>
      <protection/>
    </xf>
    <xf numFmtId="0" fontId="21" fillId="3" borderId="0" xfId="0" applyFont="1" applyFill="1" applyAlignment="1">
      <alignment horizontal="right"/>
    </xf>
    <xf numFmtId="0" fontId="21" fillId="3" borderId="0" xfId="0" applyFont="1" applyFill="1" applyAlignment="1">
      <alignment horizontal="left"/>
    </xf>
    <xf numFmtId="0" fontId="21" fillId="3" borderId="0" xfId="0" applyFont="1" applyFill="1" applyAlignment="1">
      <alignment horizontal="center"/>
    </xf>
    <xf numFmtId="0" fontId="6" fillId="0" borderId="0" xfId="21" applyFont="1" applyAlignment="1">
      <alignment horizontal="right" vertical="top" wrapText="1"/>
    </xf>
    <xf numFmtId="0" fontId="4" fillId="0" borderId="0" xfId="0" applyFont="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0" borderId="0" xfId="23" applyFont="1" applyFill="1" applyBorder="1" applyAlignment="1">
      <alignment horizontal="center" vertical="center"/>
      <protection/>
    </xf>
    <xf numFmtId="0" fontId="10" fillId="0" borderId="0" xfId="0" applyFont="1" applyAlignment="1">
      <alignment horizontal="right"/>
    </xf>
    <xf numFmtId="0" fontId="4" fillId="0" borderId="0" xfId="0" applyFont="1" applyFill="1" applyAlignment="1">
      <alignment horizontal="justify" vertical="center" wrapText="1"/>
    </xf>
    <xf numFmtId="0" fontId="0" fillId="0" borderId="0" xfId="0" applyFill="1" applyAlignment="1">
      <alignment horizontal="justify" vertical="center" wrapText="1"/>
    </xf>
    <xf numFmtId="0" fontId="4" fillId="0" borderId="0" xfId="0" applyFont="1" applyFill="1" applyAlignment="1">
      <alignment horizontal="left" vertical="justify" wrapText="1"/>
    </xf>
    <xf numFmtId="0" fontId="4" fillId="0" borderId="0" xfId="0" applyFont="1" applyFill="1" applyBorder="1" applyAlignment="1">
      <alignment horizontal="left" vertical="justify" wrapText="1"/>
    </xf>
    <xf numFmtId="49" fontId="4" fillId="0" borderId="0" xfId="23" applyNumberFormat="1" applyFont="1" applyFill="1" applyBorder="1" applyAlignment="1">
      <alignment wrapText="1"/>
      <protection/>
    </xf>
    <xf numFmtId="49" fontId="4" fillId="0" borderId="0" xfId="23" applyNumberFormat="1" applyFont="1" applyFill="1" applyBorder="1" applyAlignment="1">
      <alignment horizontal="left" wrapText="1"/>
      <protection/>
    </xf>
    <xf numFmtId="0" fontId="4" fillId="0" borderId="0" xfId="23" applyFont="1" applyFill="1" applyBorder="1" applyAlignment="1">
      <alignment horizontal="left" vertical="justify" wrapText="1"/>
      <protection/>
    </xf>
    <xf numFmtId="0" fontId="0" fillId="0" borderId="0" xfId="0" applyAlignment="1">
      <alignment horizontal="left" vertical="justify" wrapText="1"/>
    </xf>
    <xf numFmtId="49" fontId="4" fillId="3" borderId="2" xfId="23" applyNumberFormat="1" applyFont="1" applyFill="1" applyBorder="1" applyAlignment="1">
      <alignment wrapText="1"/>
      <protection/>
    </xf>
    <xf numFmtId="49" fontId="4" fillId="3" borderId="0" xfId="23" applyNumberFormat="1" applyFont="1" applyFill="1" applyBorder="1" applyAlignment="1">
      <alignment horizontal="left" wrapText="1"/>
      <protection/>
    </xf>
    <xf numFmtId="0" fontId="31" fillId="0" borderId="0" xfId="0" applyFont="1" applyAlignment="1">
      <alignment horizontal="justify" vertical="top" wrapText="1"/>
    </xf>
    <xf numFmtId="0" fontId="31" fillId="0" borderId="0" xfId="0" applyFont="1" applyAlignment="1">
      <alignment horizontal="justify" vertical="center" wrapText="1"/>
    </xf>
    <xf numFmtId="0" fontId="4" fillId="3" borderId="6" xfId="22" applyFont="1" applyFill="1" applyBorder="1" applyAlignment="1">
      <alignment horizontal="center" vertical="center" wrapText="1"/>
      <protection/>
    </xf>
    <xf numFmtId="0" fontId="4" fillId="3" borderId="3" xfId="22" applyFont="1" applyFill="1" applyBorder="1" applyAlignment="1">
      <alignment horizontal="center" vertical="center" wrapText="1"/>
      <protection/>
    </xf>
    <xf numFmtId="0" fontId="34" fillId="0" borderId="6" xfId="22" applyFont="1" applyFill="1" applyBorder="1" applyAlignment="1">
      <alignment vertical="center" wrapText="1"/>
      <protection/>
    </xf>
    <xf numFmtId="0" fontId="12" fillId="2" borderId="0" xfId="0" applyFont="1" applyFill="1" applyAlignment="1">
      <alignment horizontal="center"/>
    </xf>
    <xf numFmtId="0" fontId="4" fillId="3" borderId="0" xfId="22" applyFont="1" applyFill="1" applyBorder="1" applyAlignment="1">
      <alignment horizontal="center" vertical="center" wrapText="1"/>
      <protection/>
    </xf>
    <xf numFmtId="0" fontId="31" fillId="3" borderId="6" xfId="22" applyFont="1" applyFill="1" applyBorder="1" applyAlignment="1">
      <alignment horizontal="center" vertical="top" wrapText="1"/>
      <protection/>
    </xf>
    <xf numFmtId="0" fontId="31" fillId="3" borderId="0" xfId="22" applyFont="1" applyFill="1" applyBorder="1" applyAlignment="1">
      <alignment horizontal="center" vertical="top" wrapText="1"/>
      <protection/>
    </xf>
    <xf numFmtId="0" fontId="31" fillId="3" borderId="3" xfId="22" applyFont="1" applyFill="1" applyBorder="1" applyAlignment="1">
      <alignment horizontal="center" vertical="top" wrapText="1"/>
      <protection/>
    </xf>
    <xf numFmtId="0" fontId="29" fillId="0" borderId="0" xfId="0" applyFont="1" applyAlignment="1">
      <alignment horizontal="justify" vertical="top" wrapText="1"/>
    </xf>
    <xf numFmtId="0" fontId="4" fillId="0" borderId="3" xfId="22" applyFont="1" applyFill="1" applyBorder="1" applyAlignment="1">
      <alignment horizontal="center" vertical="center" wrapText="1"/>
      <protection/>
    </xf>
    <xf numFmtId="0" fontId="6" fillId="2" borderId="0" xfId="21" applyFont="1" applyFill="1" applyAlignment="1">
      <alignment horizontal="right"/>
    </xf>
    <xf numFmtId="0" fontId="4" fillId="0" borderId="0" xfId="22" applyFont="1" applyAlignment="1">
      <alignment horizontal="center"/>
      <protection/>
    </xf>
    <xf numFmtId="0" fontId="1" fillId="0" borderId="0" xfId="22" applyFont="1" applyAlignment="1">
      <alignment horizontal="center"/>
      <protection/>
    </xf>
    <xf numFmtId="0" fontId="4" fillId="3" borderId="4" xfId="22" applyFont="1" applyFill="1" applyBorder="1" applyAlignment="1">
      <alignment horizontal="center" vertical="top" wrapText="1"/>
      <protection/>
    </xf>
    <xf numFmtId="0" fontId="34" fillId="0" borderId="0" xfId="22" applyFont="1" applyAlignment="1">
      <alignment horizontal="left" vertical="top" wrapText="1"/>
      <protection/>
    </xf>
    <xf numFmtId="0" fontId="29" fillId="0" borderId="6" xfId="22" applyFont="1" applyBorder="1" applyAlignment="1">
      <alignment horizontal="left" vertical="center" wrapText="1"/>
      <protection/>
    </xf>
    <xf numFmtId="0" fontId="4" fillId="3" borderId="6" xfId="22" applyFont="1" applyFill="1" applyBorder="1" applyAlignment="1">
      <alignment horizontal="center" wrapText="1"/>
      <protection/>
    </xf>
    <xf numFmtId="0" fontId="0" fillId="0" borderId="6" xfId="0" applyBorder="1" applyAlignment="1">
      <alignment horizontal="center" wrapText="1"/>
    </xf>
    <xf numFmtId="0" fontId="0" fillId="0" borderId="0" xfId="0" applyAlignment="1">
      <alignment horizontal="center" wrapText="1"/>
    </xf>
    <xf numFmtId="0" fontId="34" fillId="0" borderId="0" xfId="23" applyFont="1" applyAlignment="1">
      <alignment horizontal="left" vertical="center" wrapText="1"/>
      <protection/>
    </xf>
    <xf numFmtId="0" fontId="1" fillId="3" borderId="0" xfId="23" applyFont="1" applyFill="1" applyBorder="1" applyAlignment="1">
      <alignment horizontal="center" vertical="center" wrapText="1"/>
      <protection/>
    </xf>
    <xf numFmtId="0" fontId="1" fillId="3" borderId="1" xfId="23" applyFont="1" applyFill="1" applyBorder="1" applyAlignment="1">
      <alignment horizontal="center" vertical="center" wrapText="1"/>
      <protection/>
    </xf>
    <xf numFmtId="0" fontId="4" fillId="0" borderId="0" xfId="23" applyFont="1" applyBorder="1" applyAlignment="1">
      <alignment horizontal="center"/>
      <protection/>
    </xf>
    <xf numFmtId="0" fontId="34" fillId="0" borderId="0" xfId="23" applyFont="1">
      <alignment/>
      <protection/>
    </xf>
    <xf numFmtId="0" fontId="34" fillId="0" borderId="0" xfId="23" applyFont="1" applyAlignment="1">
      <alignment horizontal="left"/>
      <protection/>
    </xf>
    <xf numFmtId="0" fontId="34" fillId="0" borderId="0" xfId="23" applyFont="1" applyAlignment="1">
      <alignment vertical="top" wrapText="1"/>
      <protection/>
    </xf>
    <xf numFmtId="0" fontId="36" fillId="0" borderId="0" xfId="23" applyFont="1" applyAlignment="1">
      <alignment vertical="top" wrapText="1"/>
      <protection/>
    </xf>
    <xf numFmtId="2" fontId="34" fillId="0" borderId="0" xfId="23" applyNumberFormat="1" applyFont="1" applyAlignment="1">
      <alignment horizontal="left" vertical="center" wrapText="1"/>
      <protection/>
    </xf>
    <xf numFmtId="0" fontId="1" fillId="0" borderId="0" xfId="0" applyFont="1" applyAlignment="1">
      <alignment horizontal="justify" vertical="center" wrapText="1"/>
    </xf>
    <xf numFmtId="0" fontId="0" fillId="0" borderId="0" xfId="0" applyAlignment="1">
      <alignment horizontal="justify" vertical="center" wrapText="1"/>
    </xf>
    <xf numFmtId="0" fontId="1" fillId="0" borderId="0" xfId="21" applyFont="1" applyAlignment="1">
      <alignment horizontal="justify" vertical="center" wrapText="1"/>
    </xf>
    <xf numFmtId="0" fontId="0" fillId="0" borderId="0" xfId="0" applyAlignment="1">
      <alignment/>
    </xf>
    <xf numFmtId="0" fontId="1" fillId="0" borderId="0" xfId="21" applyFont="1" applyAlignment="1">
      <alignment horizontal="left"/>
    </xf>
    <xf numFmtId="0" fontId="9" fillId="2" borderId="0" xfId="0" applyFont="1" applyFill="1" applyAlignment="1">
      <alignment/>
    </xf>
    <xf numFmtId="0" fontId="4" fillId="2" borderId="0" xfId="0" applyFont="1" applyFill="1" applyAlignment="1">
      <alignment horizontal="right" vertical="top"/>
    </xf>
    <xf numFmtId="0" fontId="11" fillId="2" borderId="0" xfId="0" applyFont="1" applyFill="1" applyAlignment="1">
      <alignment vertical="top"/>
    </xf>
    <xf numFmtId="0" fontId="37" fillId="2" borderId="0" xfId="0" applyFont="1" applyFill="1" applyAlignment="1">
      <alignment vertical="top"/>
    </xf>
    <xf numFmtId="0" fontId="0" fillId="2" borderId="0" xfId="0" applyFont="1" applyFill="1" applyAlignment="1">
      <alignment horizontal="right" vertical="top"/>
    </xf>
    <xf numFmtId="0" fontId="32" fillId="2" borderId="0" xfId="0" applyFont="1" applyFill="1" applyAlignment="1">
      <alignment vertical="top"/>
    </xf>
    <xf numFmtId="0" fontId="0" fillId="2" borderId="0" xfId="0" applyFill="1" applyAlignment="1">
      <alignment horizontal="right" vertical="top"/>
    </xf>
    <xf numFmtId="2" fontId="4" fillId="2" borderId="0" xfId="0" applyNumberFormat="1" applyFont="1" applyFill="1" applyAlignment="1">
      <alignment horizontal="right" vertical="top"/>
    </xf>
    <xf numFmtId="170" fontId="4" fillId="2" borderId="0" xfId="15" applyNumberFormat="1" applyFont="1" applyFill="1" applyAlignment="1">
      <alignment horizontal="center" vertical="center" wrapText="1"/>
    </xf>
    <xf numFmtId="170" fontId="4" fillId="2" borderId="0" xfId="15" applyNumberFormat="1" applyFont="1" applyFill="1" applyAlignment="1">
      <alignment horizontal="center" vertical="top" wrapText="1"/>
    </xf>
    <xf numFmtId="0" fontId="4" fillId="2" borderId="0" xfId="22" applyFont="1" applyFill="1" applyBorder="1" applyAlignment="1">
      <alignment horizontal="left" vertical="center" wrapText="1"/>
      <protection/>
    </xf>
    <xf numFmtId="0" fontId="4" fillId="2" borderId="0" xfId="22" applyFont="1" applyFill="1" applyBorder="1" applyAlignment="1">
      <alignment horizontal="justify" vertical="center" wrapText="1"/>
      <protection/>
    </xf>
    <xf numFmtId="167" fontId="4" fillId="2" borderId="0" xfId="22" applyNumberFormat="1" applyFont="1" applyFill="1" applyBorder="1" applyAlignment="1">
      <alignment horizontal="center" vertical="center" wrapText="1"/>
      <protection/>
    </xf>
    <xf numFmtId="0" fontId="4" fillId="2" borderId="3" xfId="22" applyFont="1" applyFill="1" applyBorder="1" applyAlignment="1">
      <alignment horizontal="left" vertical="center" wrapText="1"/>
      <protection/>
    </xf>
    <xf numFmtId="0" fontId="4" fillId="2" borderId="3" xfId="22" applyFont="1" applyFill="1" applyBorder="1" applyAlignment="1">
      <alignment horizontal="justify" vertical="center" wrapText="1"/>
      <protection/>
    </xf>
    <xf numFmtId="167" fontId="4" fillId="2" borderId="3" xfId="22" applyNumberFormat="1" applyFont="1" applyFill="1" applyBorder="1" applyAlignment="1">
      <alignment horizontal="center" vertical="center" wrapText="1"/>
      <protection/>
    </xf>
    <xf numFmtId="0" fontId="4" fillId="3" borderId="0" xfId="22" applyFont="1" applyFill="1" applyBorder="1" applyAlignment="1">
      <alignment horizontal="left" vertical="center" wrapText="1"/>
      <protection/>
    </xf>
    <xf numFmtId="0" fontId="4" fillId="3" borderId="0" xfId="22" applyFont="1" applyFill="1" applyBorder="1" applyAlignment="1">
      <alignment horizontal="justify" vertical="center" wrapText="1"/>
      <protection/>
    </xf>
    <xf numFmtId="167" fontId="4" fillId="3" borderId="0" xfId="22" applyNumberFormat="1" applyFont="1" applyFill="1" applyBorder="1" applyAlignment="1">
      <alignment horizontal="center" vertical="center" wrapText="1"/>
      <protection/>
    </xf>
    <xf numFmtId="1" fontId="4" fillId="3" borderId="0" xfId="22" applyNumberFormat="1" applyFont="1" applyFill="1" applyBorder="1" applyAlignment="1">
      <alignment horizontal="center" vertical="top" wrapText="1"/>
      <protection/>
    </xf>
    <xf numFmtId="0" fontId="34" fillId="2" borderId="0" xfId="22" applyFont="1" applyFill="1" applyBorder="1" applyAlignment="1">
      <alignment horizontal="left" wrapText="1"/>
      <protection/>
    </xf>
    <xf numFmtId="0" fontId="4" fillId="2" borderId="3" xfId="22" applyFont="1" applyFill="1" applyBorder="1" applyAlignment="1">
      <alignment horizontal="center" vertical="top" wrapText="1"/>
      <protection/>
    </xf>
    <xf numFmtId="1" fontId="4" fillId="2" borderId="3" xfId="22" applyNumberFormat="1" applyFont="1" applyFill="1" applyBorder="1" applyAlignment="1">
      <alignment horizontal="center" vertical="top" wrapText="1"/>
      <protection/>
    </xf>
    <xf numFmtId="0" fontId="4" fillId="2" borderId="0" xfId="22" applyFont="1" applyFill="1" applyBorder="1" applyAlignment="1">
      <alignment horizontal="center" vertical="top" wrapText="1"/>
      <protection/>
    </xf>
    <xf numFmtId="1" fontId="4" fillId="2" borderId="0" xfId="22" applyNumberFormat="1" applyFont="1" applyFill="1" applyBorder="1" applyAlignment="1">
      <alignment horizontal="center" vertical="top" wrapText="1"/>
      <protection/>
    </xf>
    <xf numFmtId="0" fontId="4" fillId="2" borderId="6" xfId="22" applyFont="1" applyFill="1" applyBorder="1" applyAlignment="1">
      <alignment horizontal="center" vertical="top" wrapText="1"/>
      <protection/>
    </xf>
    <xf numFmtId="1" fontId="4" fillId="2" borderId="6" xfId="22" applyNumberFormat="1" applyFont="1" applyFill="1" applyBorder="1" applyAlignment="1">
      <alignment horizontal="center" vertical="top" wrapText="1"/>
      <protection/>
    </xf>
    <xf numFmtId="43" fontId="4" fillId="2" borderId="6" xfId="15" applyNumberFormat="1" applyFont="1" applyFill="1" applyBorder="1" applyAlignment="1">
      <alignment vertical="top" wrapText="1"/>
    </xf>
    <xf numFmtId="43" fontId="4" fillId="2" borderId="6" xfId="15" applyNumberFormat="1" applyFont="1" applyFill="1" applyBorder="1" applyAlignment="1">
      <alignment horizontal="right" vertical="top" wrapText="1"/>
    </xf>
    <xf numFmtId="43" fontId="4" fillId="2" borderId="3" xfId="15" applyNumberFormat="1" applyFont="1" applyFill="1" applyBorder="1" applyAlignment="1">
      <alignment vertical="top" wrapText="1"/>
    </xf>
    <xf numFmtId="43" fontId="4" fillId="2" borderId="3" xfId="15" applyNumberFormat="1" applyFont="1" applyFill="1" applyBorder="1" applyAlignment="1">
      <alignment horizontal="right" vertical="top" wrapText="1"/>
    </xf>
    <xf numFmtId="43" fontId="4" fillId="3" borderId="0" xfId="15" applyNumberFormat="1" applyFont="1" applyFill="1" applyBorder="1" applyAlignment="1">
      <alignment vertical="top" wrapText="1"/>
    </xf>
    <xf numFmtId="43" fontId="4" fillId="3" borderId="0" xfId="15" applyNumberFormat="1" applyFont="1" applyFill="1" applyBorder="1" applyAlignment="1">
      <alignment horizontal="right" vertical="top" wrapText="1"/>
    </xf>
    <xf numFmtId="0" fontId="29" fillId="2" borderId="0" xfId="0" applyFont="1" applyFill="1" applyAlignment="1">
      <alignment horizontal="justify" vertical="top" wrapText="1"/>
    </xf>
  </cellXfs>
  <cellStyles count="11">
    <cellStyle name="Normal" xfId="0"/>
    <cellStyle name="Comma" xfId="15"/>
    <cellStyle name="Comma [0]" xfId="16"/>
    <cellStyle name="Comma_Gráficos y Cuadros Cap 1" xfId="17"/>
    <cellStyle name="Currency" xfId="18"/>
    <cellStyle name="Currency [0]" xfId="19"/>
    <cellStyle name="Followed Hyperlink" xfId="20"/>
    <cellStyle name="Hyperlink" xfId="21"/>
    <cellStyle name="Normal_cap1ej_an_final" xfId="22"/>
    <cellStyle name="Normal_Gráficos y Cuadros Cap 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7.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8.wmf" /><Relationship Id="rId2" Type="http://schemas.openxmlformats.org/officeDocument/2006/relationships/image" Target="../media/image9.wmf" /><Relationship Id="rId3" Type="http://schemas.openxmlformats.org/officeDocument/2006/relationships/image" Target="../media/image10.wmf" /><Relationship Id="rId4" Type="http://schemas.openxmlformats.org/officeDocument/2006/relationships/image" Target="../media/image11.wmf" /><Relationship Id="rId5" Type="http://schemas.openxmlformats.org/officeDocument/2006/relationships/image" Target="../media/image12.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oleObject" Target="../embeddings/oleObject_12_2.bin" /><Relationship Id="rId4" Type="http://schemas.openxmlformats.org/officeDocument/2006/relationships/oleObject" Target="../embeddings/oleObject_12_3.bin" /><Relationship Id="rId5" Type="http://schemas.openxmlformats.org/officeDocument/2006/relationships/oleObject" Target="../embeddings/oleObject_12_4.bin" /><Relationship Id="rId6" Type="http://schemas.openxmlformats.org/officeDocument/2006/relationships/vmlDrawing" Target="../drawings/vmlDrawing6.vml" /><Relationship Id="rId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esa.un.org/unpp/Glossary.html" TargetMode="External" /><Relationship Id="rId2" Type="http://schemas.openxmlformats.org/officeDocument/2006/relationships/hyperlink" Target="http://www.dane.gov.co/inf_est/inf_est.htm" TargetMode="External" /><Relationship Id="rId3" Type="http://schemas.openxmlformats.org/officeDocument/2006/relationships/hyperlink" Target="http://esa.un.org/unpp/" TargetMode="Externa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vmlDrawing" Target="../drawings/vmlDrawing1.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vmlDrawing" Target="../drawings/vmlDrawing2.v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oleObject" Target="../embeddings/oleObject_6_4.bin" /><Relationship Id="rId6" Type="http://schemas.openxmlformats.org/officeDocument/2006/relationships/vmlDrawing" Target="../drawings/vmlDrawing4.v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5"/>
  <sheetViews>
    <sheetView showGridLines="0" tabSelected="1" view="pageBreakPreview" zoomScale="80" zoomScaleSheetLayoutView="80" workbookViewId="0" topLeftCell="A1">
      <selection activeCell="A1" sqref="A1"/>
    </sheetView>
  </sheetViews>
  <sheetFormatPr defaultColWidth="9.140625" defaultRowHeight="12.75"/>
  <cols>
    <col min="1" max="1" width="4.28125" style="2" customWidth="1"/>
    <col min="2" max="2" width="6.57421875" style="2" bestFit="1" customWidth="1"/>
    <col min="3" max="3" width="0.85546875" style="15" customWidth="1"/>
    <col min="4" max="4" width="14.7109375" style="2" customWidth="1"/>
    <col min="5" max="5" width="15.28125" style="2" customWidth="1"/>
    <col min="6" max="8" width="8.8515625" style="2" customWidth="1"/>
    <col min="9" max="9" width="32.7109375" style="2" customWidth="1"/>
    <col min="10" max="10" width="3.28125" style="2" customWidth="1"/>
    <col min="11" max="16384" width="8.8515625" style="2" customWidth="1"/>
  </cols>
  <sheetData>
    <row r="1" ht="12.75">
      <c r="A1" s="476"/>
    </row>
    <row r="2" spans="9:12" ht="12.75">
      <c r="I2" s="3" t="s">
        <v>22</v>
      </c>
      <c r="J2" s="3"/>
      <c r="K2" s="3"/>
      <c r="L2" s="3"/>
    </row>
    <row r="4" spans="2:12" s="5" customFormat="1" ht="20.25">
      <c r="B4" s="418" t="s">
        <v>7</v>
      </c>
      <c r="C4" s="418"/>
      <c r="D4" s="418"/>
      <c r="E4" s="418"/>
      <c r="F4" s="418"/>
      <c r="G4" s="418"/>
      <c r="H4" s="418"/>
      <c r="I4" s="418"/>
      <c r="J4" s="22"/>
      <c r="K4" s="22"/>
      <c r="L4" s="22"/>
    </row>
    <row r="5" spans="2:7" s="5" customFormat="1" ht="12.75">
      <c r="B5" s="13"/>
      <c r="C5" s="20"/>
      <c r="D5" s="19"/>
      <c r="E5" s="19"/>
      <c r="F5" s="13"/>
      <c r="G5" s="13"/>
    </row>
    <row r="6" spans="2:9" s="5" customFormat="1" ht="18.75">
      <c r="B6" s="419" t="s">
        <v>9</v>
      </c>
      <c r="C6" s="419"/>
      <c r="D6" s="419"/>
      <c r="E6" s="419"/>
      <c r="F6" s="419"/>
      <c r="G6" s="419"/>
      <c r="H6" s="419"/>
      <c r="I6" s="419"/>
    </row>
    <row r="7" spans="2:9" s="5" customFormat="1" ht="13.5">
      <c r="B7" s="217"/>
      <c r="C7" s="218"/>
      <c r="D7" s="21"/>
      <c r="E7" s="216"/>
      <c r="F7" s="18"/>
      <c r="G7" s="18"/>
      <c r="H7" s="18"/>
      <c r="I7" s="18"/>
    </row>
    <row r="8" spans="2:13" s="5" customFormat="1" ht="15" customHeight="1">
      <c r="B8" s="217">
        <f>+B7+1</f>
        <v>1</v>
      </c>
      <c r="C8" s="218" t="s">
        <v>16</v>
      </c>
      <c r="D8" s="364" t="s">
        <v>25</v>
      </c>
      <c r="E8" s="216" t="s">
        <v>26</v>
      </c>
      <c r="F8" s="18"/>
      <c r="G8" s="18"/>
      <c r="H8" s="18"/>
      <c r="I8" s="18"/>
      <c r="J8" s="11"/>
      <c r="K8" s="11"/>
      <c r="L8" s="11"/>
      <c r="M8" s="4"/>
    </row>
    <row r="9" spans="2:13" s="5" customFormat="1" ht="15" customHeight="1">
      <c r="B9" s="219">
        <v>2</v>
      </c>
      <c r="C9" s="220" t="s">
        <v>11</v>
      </c>
      <c r="D9" s="364" t="s">
        <v>27</v>
      </c>
      <c r="E9" s="21" t="s">
        <v>28</v>
      </c>
      <c r="F9" s="18"/>
      <c r="G9" s="18"/>
      <c r="H9" s="18"/>
      <c r="I9" s="18"/>
      <c r="J9" s="11"/>
      <c r="K9" s="11"/>
      <c r="L9" s="11"/>
      <c r="M9" s="4"/>
    </row>
    <row r="10" spans="2:13" s="5" customFormat="1" ht="15" customHeight="1">
      <c r="B10" s="219">
        <v>3</v>
      </c>
      <c r="C10" s="220" t="s">
        <v>12</v>
      </c>
      <c r="D10" s="364" t="s">
        <v>29</v>
      </c>
      <c r="E10" s="21" t="s">
        <v>30</v>
      </c>
      <c r="F10" s="18"/>
      <c r="G10" s="18"/>
      <c r="H10" s="18"/>
      <c r="I10" s="18"/>
      <c r="J10" s="11"/>
      <c r="K10" s="11"/>
      <c r="L10" s="11"/>
      <c r="M10" s="4"/>
    </row>
    <row r="11" spans="2:13" s="5" customFormat="1" ht="15" customHeight="1">
      <c r="B11" s="219">
        <v>4</v>
      </c>
      <c r="C11" s="220" t="s">
        <v>13</v>
      </c>
      <c r="D11" s="364" t="s">
        <v>31</v>
      </c>
      <c r="E11" s="21" t="s">
        <v>32</v>
      </c>
      <c r="F11" s="18"/>
      <c r="G11" s="18"/>
      <c r="H11" s="18"/>
      <c r="I11" s="18"/>
      <c r="J11" s="11"/>
      <c r="K11" s="11"/>
      <c r="L11" s="11"/>
      <c r="M11" s="4"/>
    </row>
    <row r="12" spans="2:13" s="5" customFormat="1" ht="15" customHeight="1">
      <c r="B12" s="219">
        <v>5</v>
      </c>
      <c r="C12" s="220" t="s">
        <v>14</v>
      </c>
      <c r="D12" s="364" t="s">
        <v>33</v>
      </c>
      <c r="E12" s="21"/>
      <c r="F12" s="18"/>
      <c r="G12" s="18"/>
      <c r="H12" s="18"/>
      <c r="I12" s="18"/>
      <c r="J12" s="11"/>
      <c r="K12" s="11"/>
      <c r="L12" s="11"/>
      <c r="M12" s="4"/>
    </row>
    <row r="13" spans="2:13" s="5" customFormat="1" ht="15" customHeight="1">
      <c r="B13" s="219">
        <v>6</v>
      </c>
      <c r="C13" s="220" t="s">
        <v>15</v>
      </c>
      <c r="D13" s="364" t="s">
        <v>34</v>
      </c>
      <c r="E13" s="21"/>
      <c r="F13" s="18"/>
      <c r="G13" s="18"/>
      <c r="H13" s="18"/>
      <c r="I13" s="18"/>
      <c r="J13" s="11"/>
      <c r="K13" s="11"/>
      <c r="L13" s="11"/>
      <c r="M13" s="4"/>
    </row>
    <row r="14" spans="2:13" s="5" customFormat="1" ht="15" customHeight="1">
      <c r="B14" s="219">
        <v>7</v>
      </c>
      <c r="C14" s="220" t="s">
        <v>17</v>
      </c>
      <c r="D14" s="364" t="s">
        <v>35</v>
      </c>
      <c r="E14" s="21" t="s">
        <v>36</v>
      </c>
      <c r="F14" s="18"/>
      <c r="G14" s="18"/>
      <c r="H14" s="18"/>
      <c r="I14" s="18"/>
      <c r="J14" s="11"/>
      <c r="K14" s="11"/>
      <c r="L14" s="11"/>
      <c r="M14" s="4"/>
    </row>
    <row r="15" spans="2:13" s="5" customFormat="1" ht="15" customHeight="1">
      <c r="B15" s="219">
        <v>8</v>
      </c>
      <c r="C15" s="220" t="s">
        <v>18</v>
      </c>
      <c r="D15" s="364" t="s">
        <v>37</v>
      </c>
      <c r="E15" s="21" t="s">
        <v>38</v>
      </c>
      <c r="F15" s="18"/>
      <c r="G15" s="18"/>
      <c r="H15" s="18"/>
      <c r="I15" s="18"/>
      <c r="J15" s="11"/>
      <c r="K15" s="11"/>
      <c r="L15" s="11"/>
      <c r="M15" s="210"/>
    </row>
    <row r="16" spans="2:13" s="5" customFormat="1" ht="15" customHeight="1">
      <c r="B16" s="219">
        <v>9</v>
      </c>
      <c r="C16" s="220" t="s">
        <v>18</v>
      </c>
      <c r="D16" s="364" t="s">
        <v>106</v>
      </c>
      <c r="E16" s="21"/>
      <c r="F16" s="18"/>
      <c r="G16" s="18"/>
      <c r="H16" s="18"/>
      <c r="I16" s="18"/>
      <c r="J16" s="11"/>
      <c r="K16" s="11"/>
      <c r="L16" s="11"/>
      <c r="M16" s="4"/>
    </row>
    <row r="17" spans="2:13" s="5" customFormat="1" ht="15" customHeight="1">
      <c r="B17" s="219">
        <v>10</v>
      </c>
      <c r="C17" s="220" t="s">
        <v>18</v>
      </c>
      <c r="D17" s="364" t="s">
        <v>107</v>
      </c>
      <c r="E17" s="21" t="s">
        <v>108</v>
      </c>
      <c r="F17" s="18"/>
      <c r="G17" s="18"/>
      <c r="H17" s="18"/>
      <c r="I17" s="18"/>
      <c r="J17" s="11"/>
      <c r="K17" s="11"/>
      <c r="L17" s="11"/>
      <c r="M17" s="4"/>
    </row>
    <row r="18" spans="2:13" s="5" customFormat="1" ht="15" customHeight="1">
      <c r="B18" s="219">
        <v>11</v>
      </c>
      <c r="C18" s="220" t="s">
        <v>18</v>
      </c>
      <c r="D18" s="364" t="s">
        <v>109</v>
      </c>
      <c r="E18" s="21" t="s">
        <v>110</v>
      </c>
      <c r="F18" s="18"/>
      <c r="G18" s="18"/>
      <c r="H18" s="18"/>
      <c r="I18" s="18"/>
      <c r="J18" s="11"/>
      <c r="K18" s="11"/>
      <c r="L18" s="11"/>
      <c r="M18" s="4"/>
    </row>
    <row r="19" spans="2:13" s="5" customFormat="1" ht="15" customHeight="1">
      <c r="B19" s="219">
        <v>12</v>
      </c>
      <c r="C19" s="220" t="s">
        <v>18</v>
      </c>
      <c r="D19" s="364" t="s">
        <v>111</v>
      </c>
      <c r="E19" s="21" t="s">
        <v>112</v>
      </c>
      <c r="F19" s="18"/>
      <c r="G19" s="18"/>
      <c r="H19" s="18"/>
      <c r="I19" s="18"/>
      <c r="J19" s="11"/>
      <c r="K19" s="11"/>
      <c r="L19" s="11"/>
      <c r="M19" s="4"/>
    </row>
    <row r="20" spans="2:13" s="5" customFormat="1" ht="15" customHeight="1">
      <c r="B20" s="219">
        <v>13</v>
      </c>
      <c r="C20" s="220" t="s">
        <v>18</v>
      </c>
      <c r="D20" s="364" t="s">
        <v>113</v>
      </c>
      <c r="E20" s="21" t="s">
        <v>114</v>
      </c>
      <c r="F20" s="18"/>
      <c r="G20" s="18"/>
      <c r="H20" s="18"/>
      <c r="I20" s="18"/>
      <c r="J20" s="11"/>
      <c r="K20" s="11"/>
      <c r="L20" s="11"/>
      <c r="M20" s="4"/>
    </row>
    <row r="21" spans="2:13" s="5" customFormat="1" ht="15" customHeight="1">
      <c r="B21" s="219">
        <v>14</v>
      </c>
      <c r="C21" s="220" t="s">
        <v>18</v>
      </c>
      <c r="D21" s="364" t="s">
        <v>115</v>
      </c>
      <c r="E21" s="21" t="s">
        <v>116</v>
      </c>
      <c r="F21" s="18"/>
      <c r="G21" s="18"/>
      <c r="H21" s="18"/>
      <c r="I21" s="18"/>
      <c r="J21" s="11"/>
      <c r="K21" s="11"/>
      <c r="L21" s="11"/>
      <c r="M21" s="4"/>
    </row>
    <row r="22" spans="2:13" s="5" customFormat="1" ht="15" customHeight="1">
      <c r="B22" s="219">
        <v>15</v>
      </c>
      <c r="C22" s="220" t="s">
        <v>18</v>
      </c>
      <c r="D22" s="364" t="s">
        <v>117</v>
      </c>
      <c r="E22" s="21"/>
      <c r="F22" s="18"/>
      <c r="G22" s="18"/>
      <c r="H22" s="18"/>
      <c r="I22" s="18"/>
      <c r="J22" s="11"/>
      <c r="K22" s="11"/>
      <c r="L22" s="11"/>
      <c r="M22" s="4"/>
    </row>
    <row r="23" spans="2:13" s="5" customFormat="1" ht="15" customHeight="1">
      <c r="B23" s="219"/>
      <c r="C23" s="220"/>
      <c r="D23" s="18"/>
      <c r="E23" s="18"/>
      <c r="F23" s="18"/>
      <c r="G23" s="18"/>
      <c r="H23" s="18"/>
      <c r="I23" s="18"/>
      <c r="J23" s="11"/>
      <c r="K23" s="11"/>
      <c r="L23" s="11"/>
      <c r="M23" s="4"/>
    </row>
    <row r="24" spans="2:13" s="5" customFormat="1" ht="15" customHeight="1">
      <c r="B24" s="419" t="s">
        <v>6</v>
      </c>
      <c r="C24" s="419"/>
      <c r="D24" s="419"/>
      <c r="E24" s="419"/>
      <c r="F24" s="419"/>
      <c r="G24" s="419"/>
      <c r="H24" s="419"/>
      <c r="I24" s="419"/>
      <c r="J24" s="11"/>
      <c r="K24" s="11"/>
      <c r="L24" s="11"/>
      <c r="M24" s="4"/>
    </row>
    <row r="25" spans="2:13" s="5" customFormat="1" ht="15" customHeight="1">
      <c r="B25" s="219">
        <v>16</v>
      </c>
      <c r="C25" s="17" t="s">
        <v>19</v>
      </c>
      <c r="D25" s="221" t="s">
        <v>39</v>
      </c>
      <c r="E25" s="420" t="s">
        <v>257</v>
      </c>
      <c r="F25" s="420"/>
      <c r="G25" s="420"/>
      <c r="H25" s="420"/>
      <c r="I25" s="420"/>
      <c r="J25" s="11"/>
      <c r="K25" s="11"/>
      <c r="L25" s="11"/>
      <c r="M25" s="4"/>
    </row>
    <row r="26" spans="2:13" s="5" customFormat="1" ht="13.5">
      <c r="B26" s="318">
        <v>17</v>
      </c>
      <c r="C26" s="176" t="s">
        <v>16</v>
      </c>
      <c r="D26" s="221" t="s">
        <v>245</v>
      </c>
      <c r="E26" s="415" t="s">
        <v>256</v>
      </c>
      <c r="F26" s="415"/>
      <c r="G26" s="415"/>
      <c r="H26" s="415"/>
      <c r="I26" s="415"/>
      <c r="J26" s="177"/>
      <c r="K26" s="177"/>
      <c r="L26" s="11"/>
      <c r="M26" s="4"/>
    </row>
    <row r="27" spans="2:13" s="5" customFormat="1" ht="15" customHeight="1">
      <c r="B27" s="219">
        <v>18</v>
      </c>
      <c r="C27" s="17" t="s">
        <v>16</v>
      </c>
      <c r="D27" s="221" t="s">
        <v>251</v>
      </c>
      <c r="E27" s="416" t="s">
        <v>255</v>
      </c>
      <c r="F27" s="416"/>
      <c r="G27" s="416"/>
      <c r="H27" s="416"/>
      <c r="I27" s="416"/>
      <c r="J27" s="188"/>
      <c r="K27" s="188"/>
      <c r="L27" s="188"/>
      <c r="M27" s="4"/>
    </row>
    <row r="28" spans="2:13" s="5" customFormat="1" ht="13.5">
      <c r="B28" s="319">
        <v>19</v>
      </c>
      <c r="C28" s="190" t="s">
        <v>16</v>
      </c>
      <c r="D28" s="221" t="s">
        <v>252</v>
      </c>
      <c r="E28" s="417" t="s">
        <v>261</v>
      </c>
      <c r="F28" s="417"/>
      <c r="G28" s="417"/>
      <c r="H28" s="417"/>
      <c r="I28" s="417"/>
      <c r="J28" s="191"/>
      <c r="K28" s="191"/>
      <c r="L28" s="191"/>
      <c r="M28" s="191"/>
    </row>
    <row r="29" spans="2:17" s="5" customFormat="1" ht="13.5">
      <c r="B29" s="318">
        <v>20</v>
      </c>
      <c r="C29" s="176" t="s">
        <v>16</v>
      </c>
      <c r="D29" s="221" t="s">
        <v>253</v>
      </c>
      <c r="E29" s="417" t="s">
        <v>262</v>
      </c>
      <c r="F29" s="417"/>
      <c r="G29" s="417"/>
      <c r="H29" s="417"/>
      <c r="I29" s="417"/>
      <c r="J29" s="188"/>
      <c r="K29" s="188"/>
      <c r="L29" s="188"/>
      <c r="M29" s="188"/>
      <c r="N29" s="188"/>
      <c r="O29" s="188"/>
      <c r="P29" s="188"/>
      <c r="Q29" s="188"/>
    </row>
    <row r="30" spans="2:16" s="5" customFormat="1" ht="13.5">
      <c r="B30" s="219">
        <v>21</v>
      </c>
      <c r="C30" s="17" t="s">
        <v>16</v>
      </c>
      <c r="D30" s="221" t="s">
        <v>254</v>
      </c>
      <c r="E30" s="421" t="s">
        <v>269</v>
      </c>
      <c r="F30" s="421"/>
      <c r="G30" s="421"/>
      <c r="H30" s="421"/>
      <c r="I30" s="421"/>
      <c r="J30" s="205"/>
      <c r="K30" s="205"/>
      <c r="L30" s="205"/>
      <c r="M30" s="205"/>
      <c r="N30" s="205"/>
      <c r="O30" s="205"/>
      <c r="P30" s="209"/>
    </row>
    <row r="31" spans="2:16" s="5" customFormat="1" ht="14.25" customHeight="1">
      <c r="B31" s="219"/>
      <c r="C31" s="17"/>
      <c r="D31" s="221"/>
      <c r="E31" s="336"/>
      <c r="F31" s="336"/>
      <c r="G31" s="336"/>
      <c r="H31" s="336"/>
      <c r="I31" s="336"/>
      <c r="J31" s="205"/>
      <c r="K31" s="205"/>
      <c r="L31" s="205"/>
      <c r="M31" s="205"/>
      <c r="N31" s="205"/>
      <c r="O31" s="205"/>
      <c r="P31" s="209"/>
    </row>
    <row r="32" spans="2:16" s="5" customFormat="1" ht="16.5" customHeight="1">
      <c r="B32" s="424" t="s">
        <v>336</v>
      </c>
      <c r="C32" s="424"/>
      <c r="D32" s="424"/>
      <c r="E32" s="424"/>
      <c r="F32" s="424"/>
      <c r="G32" s="424"/>
      <c r="H32" s="424"/>
      <c r="I32" s="424"/>
      <c r="J32" s="205"/>
      <c r="K32" s="205"/>
      <c r="L32" s="205"/>
      <c r="M32" s="205"/>
      <c r="N32" s="205"/>
      <c r="O32" s="205"/>
      <c r="P32" s="209"/>
    </row>
    <row r="33" spans="3:12" s="5" customFormat="1" ht="15" customHeight="1">
      <c r="C33" s="17"/>
      <c r="D33" s="18"/>
      <c r="E33" s="18"/>
      <c r="F33" s="18"/>
      <c r="G33" s="18"/>
      <c r="H33" s="18"/>
      <c r="I33" s="18"/>
      <c r="J33" s="11"/>
      <c r="K33" s="11"/>
      <c r="L33" s="11"/>
    </row>
    <row r="34" spans="3:12" s="5" customFormat="1" ht="6.75" customHeight="1">
      <c r="C34" s="17"/>
      <c r="D34" s="14"/>
      <c r="E34" s="11"/>
      <c r="F34" s="11"/>
      <c r="G34" s="11"/>
      <c r="H34" s="11"/>
      <c r="I34" s="11"/>
      <c r="J34" s="11"/>
      <c r="K34" s="11"/>
      <c r="L34" s="11"/>
    </row>
    <row r="35" spans="2:9" s="5" customFormat="1" ht="15.75">
      <c r="B35" s="423" t="s">
        <v>23</v>
      </c>
      <c r="C35" s="423"/>
      <c r="D35" s="423"/>
      <c r="E35" s="35"/>
      <c r="F35" s="422" t="s">
        <v>21</v>
      </c>
      <c r="G35" s="422"/>
      <c r="H35" s="422"/>
      <c r="I35" s="422"/>
    </row>
    <row r="36" s="5" customFormat="1" ht="12.75">
      <c r="C36" s="16"/>
    </row>
    <row r="37" s="5" customFormat="1" ht="12.75">
      <c r="C37" s="16"/>
    </row>
    <row r="38" s="5" customFormat="1" ht="12.75">
      <c r="C38" s="16"/>
    </row>
    <row r="39" s="5" customFormat="1" ht="12.75">
      <c r="C39" s="16"/>
    </row>
    <row r="40" s="5" customFormat="1" ht="12.75">
      <c r="C40" s="16"/>
    </row>
    <row r="41" s="5" customFormat="1" ht="12.75">
      <c r="C41" s="16"/>
    </row>
    <row r="42" s="5" customFormat="1" ht="12.75">
      <c r="C42" s="16"/>
    </row>
    <row r="43" s="5" customFormat="1" ht="12.75">
      <c r="C43" s="16"/>
    </row>
    <row r="44" s="5" customFormat="1" ht="12.75">
      <c r="C44" s="16"/>
    </row>
    <row r="45" s="5" customFormat="1" ht="12.75">
      <c r="C45" s="16"/>
    </row>
  </sheetData>
  <mergeCells count="12">
    <mergeCell ref="E29:I29"/>
    <mergeCell ref="E30:I30"/>
    <mergeCell ref="F35:I35"/>
    <mergeCell ref="B35:D35"/>
    <mergeCell ref="B32:I32"/>
    <mergeCell ref="E26:I26"/>
    <mergeCell ref="E27:I27"/>
    <mergeCell ref="E28:I28"/>
    <mergeCell ref="B4:I4"/>
    <mergeCell ref="B6:I6"/>
    <mergeCell ref="B24:I24"/>
    <mergeCell ref="E25:I25"/>
  </mergeCells>
  <hyperlinks>
    <hyperlink ref="D8" location="Ejercicios!B8" display="Ejercicio 1.1"/>
    <hyperlink ref="D25" location="Ap_1.A.1!B6" display="Cuadro 1.A.1:"/>
    <hyperlink ref="D9" location="Ejercicios!B13" display="Ejercicio 1.2"/>
    <hyperlink ref="D10" location="Ejercicios!B48" display="Ejercicio 1.3"/>
    <hyperlink ref="E10" location="Rta_1.3!B6" display="Respuesta 1.3"/>
    <hyperlink ref="D11" location="Ejercicios!B54" display="Ejercicio 1.4"/>
    <hyperlink ref="D12" location="Ejercicios!B58" display="Ejercicio 1.5"/>
    <hyperlink ref="D13" location="Ejercicios!B62" display="Ejercicio 1.6"/>
    <hyperlink ref="D14" location="Ejercicios!B67" display="Ejercicio 1.7"/>
    <hyperlink ref="E14" location="Rta_1.7!B6" display="Respuesta 1.7"/>
    <hyperlink ref="D15" location="Ejercicios!B72" display="Ejercicio 1.8"/>
    <hyperlink ref="E15" location="Rta_1.8!B6" display="Respuesta 1.8"/>
    <hyperlink ref="E9" location="Rta_1.2!B6" display="Respuesta 1.2"/>
    <hyperlink ref="E11" location="Rta_1.4!B6" display="Respuesta 1.4"/>
    <hyperlink ref="D16" location="Ejercicios!B76" display="Ejercicio 1.9"/>
    <hyperlink ref="D17" location="Ejercicios!B81" display="Ejercicio 1.10"/>
    <hyperlink ref="D18" location="Ejercicios!B85" display="Ejercicio 1.11"/>
    <hyperlink ref="D19" location="Ejercicios!B90" display="Ejercicio 1.12"/>
    <hyperlink ref="D20" location="Ejercicios!B94" display="Ejercicio 1.13"/>
    <hyperlink ref="D21" location="Ejercicios!B98" display="Ejercicio 1.14"/>
    <hyperlink ref="D22" location="Ejercicios!B106" display="Ejercicio 1.15"/>
    <hyperlink ref="E17" location="Rta_1.10!B6" display="Respuesta 1.10"/>
    <hyperlink ref="E18" location="Rta_1.11!B6" display="Respuesta 1.11"/>
    <hyperlink ref="E19" location="Rta_1.12!B6" display="Respuesta 1.12"/>
    <hyperlink ref="E20" location="Rta_1.13!B6" display="Respuesta 1.13"/>
    <hyperlink ref="E21" location="Rta_1.14!B6" display="Respuesta 1.14"/>
    <hyperlink ref="E8" location="Rta_1.1!B6" display="Respuesta 1.1"/>
    <hyperlink ref="D26" location="Ap_1.A.2!B6" display="Cuadro 1.A.2:"/>
    <hyperlink ref="D27" location="Ap_1.A.3!B6" display="Cuadro 1.A.3:"/>
    <hyperlink ref="D28" location="Ap_1.A.4!B6" display="Cuadro 1.A.4:"/>
    <hyperlink ref="D29" location="Ap_1.A.5!B6" display="Cuadro 1.A.5:"/>
    <hyperlink ref="D30" location="Ap_1.A.6!B6" display="Cuadro 1.A.6:"/>
    <hyperlink ref="B32:I32" location="Fuentes!B6" display="Bibliografía y fuentes estadísticas (con hipervínculos)"/>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T47"/>
  <sheetViews>
    <sheetView showGridLines="0" view="pageBreakPreview" zoomScale="80" zoomScaleNormal="75" zoomScaleSheetLayoutView="80" workbookViewId="0" topLeftCell="A1">
      <selection activeCell="A1" sqref="A1"/>
    </sheetView>
  </sheetViews>
  <sheetFormatPr defaultColWidth="9.140625" defaultRowHeight="12.75"/>
  <cols>
    <col min="1" max="1" width="6.140625" style="0" customWidth="1"/>
    <col min="2" max="2" width="7.57421875" style="0" customWidth="1"/>
    <col min="3" max="3" width="29.7109375" style="0" customWidth="1"/>
    <col min="5" max="6" width="17.140625" style="0" customWidth="1"/>
    <col min="9" max="9" width="8.28125" style="0" customWidth="1"/>
    <col min="10" max="10" width="7.140625" style="0" customWidth="1"/>
  </cols>
  <sheetData>
    <row r="1" ht="12.75">
      <c r="A1" s="192"/>
    </row>
    <row r="2" spans="3:9" ht="12.75">
      <c r="C2" s="162"/>
      <c r="D2" s="162"/>
      <c r="E2" s="162"/>
      <c r="F2" s="162"/>
      <c r="I2" s="162" t="s">
        <v>22</v>
      </c>
    </row>
    <row r="4" spans="2:9" s="6" customFormat="1" ht="12.75">
      <c r="B4" s="392" t="s">
        <v>335</v>
      </c>
      <c r="C4" s="392"/>
      <c r="D4" s="392"/>
      <c r="H4" s="378" t="s">
        <v>8</v>
      </c>
      <c r="I4" s="378"/>
    </row>
    <row r="5" s="6" customFormat="1" ht="12.75"/>
    <row r="6" spans="2:9" s="6" customFormat="1" ht="18.75">
      <c r="B6" s="419" t="s">
        <v>334</v>
      </c>
      <c r="C6" s="419"/>
      <c r="D6" s="419"/>
      <c r="E6" s="419"/>
      <c r="F6" s="419"/>
      <c r="G6" s="419"/>
      <c r="H6" s="419"/>
      <c r="I6" s="419"/>
    </row>
    <row r="7" spans="3:4" s="6" customFormat="1" ht="12.75">
      <c r="C7" s="54"/>
      <c r="D7" s="54"/>
    </row>
    <row r="8" spans="2:9" s="6" customFormat="1" ht="26.25" thickBot="1">
      <c r="B8" s="338" t="s">
        <v>363</v>
      </c>
      <c r="C8" s="315" t="s">
        <v>230</v>
      </c>
      <c r="D8" s="371" t="s">
        <v>355</v>
      </c>
      <c r="E8" s="252" t="s">
        <v>231</v>
      </c>
      <c r="F8" s="252" t="s">
        <v>314</v>
      </c>
      <c r="G8" s="160"/>
      <c r="H8" s="160"/>
      <c r="I8" s="160"/>
    </row>
    <row r="9" spans="2:20" s="6" customFormat="1" ht="12.75" customHeight="1">
      <c r="B9" s="160"/>
      <c r="C9" s="160"/>
      <c r="D9" s="160"/>
      <c r="E9" s="160"/>
      <c r="F9" s="160"/>
      <c r="G9" s="160"/>
      <c r="H9" s="160"/>
      <c r="I9" s="160"/>
      <c r="J9" s="161"/>
      <c r="K9" s="161"/>
      <c r="L9" s="161"/>
      <c r="M9" s="161"/>
      <c r="N9" s="161"/>
      <c r="O9" s="161"/>
      <c r="P9" s="161"/>
      <c r="Q9" s="161"/>
      <c r="R9" s="161"/>
      <c r="S9" s="161"/>
      <c r="T9" s="161"/>
    </row>
    <row r="10" spans="2:20" s="6" customFormat="1" ht="12.75" customHeight="1">
      <c r="B10" s="160"/>
      <c r="C10" s="275" t="s">
        <v>76</v>
      </c>
      <c r="D10" s="282">
        <v>0.1108</v>
      </c>
      <c r="E10" s="277">
        <v>1687249</v>
      </c>
      <c r="F10" s="285">
        <f aca="true" t="shared" si="0" ref="F10:F16">D10*E10</f>
        <v>186947.1892</v>
      </c>
      <c r="G10" s="160"/>
      <c r="H10" s="160"/>
      <c r="I10" s="160"/>
      <c r="J10" s="161"/>
      <c r="K10" s="161"/>
      <c r="L10" s="161"/>
      <c r="M10" s="161"/>
      <c r="N10" s="161"/>
      <c r="O10" s="161"/>
      <c r="P10" s="161"/>
      <c r="Q10" s="161"/>
      <c r="R10" s="161"/>
      <c r="S10" s="161"/>
      <c r="T10" s="161"/>
    </row>
    <row r="11" spans="2:20" s="6" customFormat="1" ht="12.75" customHeight="1">
      <c r="B11" s="160"/>
      <c r="C11" s="286" t="s">
        <v>77</v>
      </c>
      <c r="D11" s="294">
        <v>0.173</v>
      </c>
      <c r="E11" s="121">
        <v>1648276</v>
      </c>
      <c r="F11" s="124">
        <f t="shared" si="0"/>
        <v>285151.74799999996</v>
      </c>
      <c r="G11" s="160"/>
      <c r="H11" s="160"/>
      <c r="I11" s="160"/>
      <c r="J11" s="161"/>
      <c r="K11" s="161"/>
      <c r="L11" s="161"/>
      <c r="M11" s="161"/>
      <c r="N11" s="161"/>
      <c r="O11" s="161"/>
      <c r="P11" s="161"/>
      <c r="Q11" s="161"/>
      <c r="R11" s="161"/>
      <c r="S11" s="161"/>
      <c r="T11" s="161"/>
    </row>
    <row r="12" spans="2:20" s="6" customFormat="1" ht="12.75" customHeight="1">
      <c r="B12" s="160"/>
      <c r="C12" s="275" t="s">
        <v>78</v>
      </c>
      <c r="D12" s="282">
        <v>0.1422</v>
      </c>
      <c r="E12" s="277">
        <v>1557235</v>
      </c>
      <c r="F12" s="285">
        <f t="shared" si="0"/>
        <v>221438.81699999998</v>
      </c>
      <c r="G12" s="160"/>
      <c r="H12" s="160"/>
      <c r="I12" s="160"/>
      <c r="J12" s="161"/>
      <c r="K12" s="161"/>
      <c r="L12" s="161"/>
      <c r="M12" s="161"/>
      <c r="N12" s="161"/>
      <c r="O12" s="161"/>
      <c r="P12" s="161"/>
      <c r="Q12" s="161"/>
      <c r="R12" s="161"/>
      <c r="S12" s="161"/>
      <c r="T12" s="161"/>
    </row>
    <row r="13" spans="2:20" s="6" customFormat="1" ht="15" customHeight="1">
      <c r="B13" s="160"/>
      <c r="C13" s="286" t="s">
        <v>61</v>
      </c>
      <c r="D13" s="294">
        <v>0.0973</v>
      </c>
      <c r="E13" s="121">
        <v>1389426</v>
      </c>
      <c r="F13" s="124">
        <f t="shared" si="0"/>
        <v>135191.14979999998</v>
      </c>
      <c r="G13" s="160"/>
      <c r="H13" s="160"/>
      <c r="I13" s="160"/>
      <c r="J13" s="161"/>
      <c r="K13" s="161"/>
      <c r="L13" s="161"/>
      <c r="M13" s="161"/>
      <c r="N13" s="161"/>
      <c r="O13" s="161"/>
      <c r="P13" s="161"/>
      <c r="Q13" s="161"/>
      <c r="R13" s="161"/>
      <c r="S13" s="161"/>
      <c r="T13" s="161"/>
    </row>
    <row r="14" spans="2:20" s="6" customFormat="1" ht="12.75">
      <c r="B14" s="160"/>
      <c r="C14" s="275" t="s">
        <v>62</v>
      </c>
      <c r="D14" s="282">
        <v>0.0558</v>
      </c>
      <c r="E14" s="277">
        <v>1159397</v>
      </c>
      <c r="F14" s="285">
        <f t="shared" si="0"/>
        <v>64694.352600000006</v>
      </c>
      <c r="G14" s="160"/>
      <c r="H14" s="160"/>
      <c r="I14" s="160"/>
      <c r="J14" s="161"/>
      <c r="K14" s="161"/>
      <c r="L14" s="161"/>
      <c r="M14" s="161"/>
      <c r="N14" s="161"/>
      <c r="O14" s="161"/>
      <c r="P14" s="161"/>
      <c r="Q14" s="161"/>
      <c r="R14" s="161"/>
      <c r="S14" s="161"/>
      <c r="T14" s="161"/>
    </row>
    <row r="15" spans="2:20" s="6" customFormat="1" ht="15.75" customHeight="1">
      <c r="B15" s="160"/>
      <c r="C15" s="286" t="s">
        <v>79</v>
      </c>
      <c r="D15" s="294">
        <v>0.0215</v>
      </c>
      <c r="E15" s="121">
        <v>871241</v>
      </c>
      <c r="F15" s="124">
        <f t="shared" si="0"/>
        <v>18731.6815</v>
      </c>
      <c r="G15" s="160"/>
      <c r="H15" s="160"/>
      <c r="I15" s="160"/>
      <c r="J15" s="161"/>
      <c r="K15" s="161"/>
      <c r="L15" s="161"/>
      <c r="M15" s="161"/>
      <c r="N15" s="161"/>
      <c r="O15" s="161"/>
      <c r="P15" s="161"/>
      <c r="Q15" s="161"/>
      <c r="R15" s="161"/>
      <c r="S15" s="161"/>
      <c r="T15" s="161"/>
    </row>
    <row r="16" spans="2:20" s="6" customFormat="1" ht="12.75">
      <c r="B16" s="160"/>
      <c r="C16" s="275" t="s">
        <v>80</v>
      </c>
      <c r="D16" s="350">
        <v>0.0065</v>
      </c>
      <c r="E16" s="277">
        <v>673696</v>
      </c>
      <c r="F16" s="351">
        <f t="shared" si="0"/>
        <v>4379.023999999999</v>
      </c>
      <c r="G16" s="160"/>
      <c r="H16" s="160"/>
      <c r="I16" s="160"/>
      <c r="J16" s="161"/>
      <c r="K16" s="161"/>
      <c r="L16" s="161"/>
      <c r="M16" s="161"/>
      <c r="N16" s="161"/>
      <c r="O16" s="161"/>
      <c r="P16" s="161"/>
      <c r="Q16" s="161"/>
      <c r="R16" s="161"/>
      <c r="S16" s="161"/>
      <c r="T16" s="161"/>
    </row>
    <row r="17" spans="2:20" s="6" customFormat="1" ht="13.5" thickBot="1">
      <c r="B17" s="160"/>
      <c r="C17" s="352" t="s">
        <v>241</v>
      </c>
      <c r="D17" s="353"/>
      <c r="E17" s="353"/>
      <c r="F17" s="354">
        <f>SUM(F10:F16)</f>
        <v>916533.9620999998</v>
      </c>
      <c r="G17" s="160"/>
      <c r="H17" s="160"/>
      <c r="I17" s="160"/>
      <c r="J17" s="161"/>
      <c r="K17" s="161"/>
      <c r="L17" s="161"/>
      <c r="M17" s="161"/>
      <c r="N17" s="161"/>
      <c r="O17" s="161"/>
      <c r="P17" s="161"/>
      <c r="Q17" s="161"/>
      <c r="R17" s="161"/>
      <c r="S17" s="161"/>
      <c r="T17" s="161"/>
    </row>
    <row r="18" spans="2:20" s="6" customFormat="1" ht="12.75">
      <c r="B18" s="160"/>
      <c r="C18" s="257"/>
      <c r="D18" s="355"/>
      <c r="E18" s="355"/>
      <c r="F18" s="356"/>
      <c r="G18" s="160"/>
      <c r="H18" s="160"/>
      <c r="I18" s="160"/>
      <c r="J18" s="161"/>
      <c r="K18" s="161"/>
      <c r="L18" s="161"/>
      <c r="M18" s="161"/>
      <c r="N18" s="161"/>
      <c r="O18" s="161"/>
      <c r="P18" s="161"/>
      <c r="Q18" s="161"/>
      <c r="R18" s="161"/>
      <c r="S18" s="161"/>
      <c r="T18" s="161"/>
    </row>
    <row r="19" spans="2:20" s="6" customFormat="1" ht="12.75">
      <c r="B19" s="160"/>
      <c r="C19" s="257" t="s">
        <v>242</v>
      </c>
      <c r="D19" s="355"/>
      <c r="E19" s="355"/>
      <c r="F19" s="358">
        <f>F17*0.503</f>
        <v>461016.5829362999</v>
      </c>
      <c r="G19" s="160"/>
      <c r="H19" s="160"/>
      <c r="I19" s="160"/>
      <c r="J19" s="161"/>
      <c r="K19" s="161"/>
      <c r="L19" s="161"/>
      <c r="M19" s="161"/>
      <c r="N19" s="161"/>
      <c r="O19" s="161"/>
      <c r="P19" s="161"/>
      <c r="Q19" s="161"/>
      <c r="R19" s="161"/>
      <c r="S19" s="161"/>
      <c r="T19" s="161"/>
    </row>
    <row r="20" spans="2:20" s="6" customFormat="1" ht="12.75">
      <c r="B20" s="160"/>
      <c r="C20" s="257" t="s">
        <v>315</v>
      </c>
      <c r="D20" s="355"/>
      <c r="E20" s="355"/>
      <c r="F20" s="359">
        <v>7.774375250406004</v>
      </c>
      <c r="G20" s="160"/>
      <c r="H20" s="160"/>
      <c r="I20" s="160"/>
      <c r="J20" s="161"/>
      <c r="K20" s="161"/>
      <c r="L20" s="161"/>
      <c r="M20" s="161"/>
      <c r="N20" s="161"/>
      <c r="O20" s="161"/>
      <c r="P20" s="161"/>
      <c r="Q20" s="161"/>
      <c r="R20" s="161"/>
      <c r="S20" s="161"/>
      <c r="T20" s="161"/>
    </row>
    <row r="21" spans="2:20" s="6" customFormat="1" ht="12.75">
      <c r="B21" s="160"/>
      <c r="C21" s="257"/>
      <c r="D21" s="355"/>
      <c r="E21" s="355"/>
      <c r="F21" s="359"/>
      <c r="G21" s="160"/>
      <c r="H21" s="160"/>
      <c r="I21" s="160"/>
      <c r="J21" s="161"/>
      <c r="K21" s="161"/>
      <c r="L21" s="161"/>
      <c r="M21" s="161"/>
      <c r="N21" s="161"/>
      <c r="O21" s="161"/>
      <c r="P21" s="161"/>
      <c r="Q21" s="161"/>
      <c r="R21" s="161"/>
      <c r="S21" s="161"/>
      <c r="T21" s="161"/>
    </row>
    <row r="22" spans="2:20" s="6" customFormat="1" ht="12.75">
      <c r="B22" s="160"/>
      <c r="C22" s="436" t="s">
        <v>316</v>
      </c>
      <c r="D22" s="436"/>
      <c r="E22" s="436"/>
      <c r="F22" s="368">
        <f>F$19*(1-F$20/1000)^4</f>
        <v>446846.44003416155</v>
      </c>
      <c r="G22" s="160"/>
      <c r="H22" s="160"/>
      <c r="I22" s="160"/>
      <c r="J22" s="161"/>
      <c r="K22" s="161"/>
      <c r="L22" s="161"/>
      <c r="M22" s="161"/>
      <c r="N22" s="161"/>
      <c r="O22" s="161"/>
      <c r="P22" s="161"/>
      <c r="Q22" s="161"/>
      <c r="R22" s="161"/>
      <c r="S22" s="161"/>
      <c r="T22" s="161"/>
    </row>
    <row r="23" spans="2:20" s="6" customFormat="1" ht="12.75">
      <c r="B23" s="160"/>
      <c r="C23" s="436" t="s">
        <v>317</v>
      </c>
      <c r="D23" s="436"/>
      <c r="E23" s="436"/>
      <c r="F23" s="368">
        <f>F$19*(1-F$20/1000)^3</f>
        <v>450347.61135798256</v>
      </c>
      <c r="G23" s="160"/>
      <c r="H23" s="160"/>
      <c r="I23" s="160"/>
      <c r="J23" s="161"/>
      <c r="K23" s="161"/>
      <c r="L23" s="161"/>
      <c r="M23" s="161"/>
      <c r="N23" s="161"/>
      <c r="O23" s="161"/>
      <c r="P23" s="161"/>
      <c r="Q23" s="161"/>
      <c r="R23" s="161"/>
      <c r="S23" s="161"/>
      <c r="T23" s="161"/>
    </row>
    <row r="24" spans="2:20" s="6" customFormat="1" ht="12.75">
      <c r="B24" s="160"/>
      <c r="C24" s="436" t="s">
        <v>318</v>
      </c>
      <c r="D24" s="436"/>
      <c r="E24" s="436"/>
      <c r="F24" s="368">
        <f>F$19*(1-F$20/1000)^2</f>
        <v>453876.21537353046</v>
      </c>
      <c r="G24" s="160"/>
      <c r="H24" s="160"/>
      <c r="I24" s="160"/>
      <c r="J24" s="161"/>
      <c r="K24" s="161"/>
      <c r="L24" s="161"/>
      <c r="M24" s="161"/>
      <c r="N24" s="161"/>
      <c r="O24" s="161"/>
      <c r="P24" s="161"/>
      <c r="Q24" s="161"/>
      <c r="R24" s="161"/>
      <c r="S24" s="161"/>
      <c r="T24" s="161"/>
    </row>
    <row r="25" spans="2:20" s="6" customFormat="1" ht="12.75">
      <c r="B25" s="160"/>
      <c r="C25" s="436" t="s">
        <v>319</v>
      </c>
      <c r="D25" s="436"/>
      <c r="E25" s="436"/>
      <c r="F25" s="368">
        <f>F$19*(1-F$20/1000)^1</f>
        <v>457432.4670238932</v>
      </c>
      <c r="G25" s="160"/>
      <c r="H25" s="160"/>
      <c r="I25" s="160"/>
      <c r="J25" s="161"/>
      <c r="K25" s="161"/>
      <c r="L25" s="161"/>
      <c r="M25" s="161"/>
      <c r="N25" s="161"/>
      <c r="O25" s="161"/>
      <c r="P25" s="161"/>
      <c r="Q25" s="161"/>
      <c r="R25" s="161"/>
      <c r="S25" s="161"/>
      <c r="T25" s="161"/>
    </row>
    <row r="26" spans="2:20" s="6" customFormat="1" ht="12.75">
      <c r="B26" s="160"/>
      <c r="C26" s="436" t="s">
        <v>320</v>
      </c>
      <c r="D26" s="436"/>
      <c r="E26" s="436"/>
      <c r="F26" s="368">
        <f>F$19*(1-F$20/1000)^0</f>
        <v>461016.5829362999</v>
      </c>
      <c r="G26" s="160"/>
      <c r="H26" s="160"/>
      <c r="I26" s="160"/>
      <c r="J26" s="161"/>
      <c r="K26" s="161"/>
      <c r="L26" s="161"/>
      <c r="M26" s="161"/>
      <c r="N26" s="161"/>
      <c r="O26" s="161"/>
      <c r="P26" s="161"/>
      <c r="Q26" s="161"/>
      <c r="R26" s="161"/>
      <c r="S26" s="161"/>
      <c r="T26" s="161"/>
    </row>
    <row r="27" s="6" customFormat="1" ht="12.75">
      <c r="F27" s="369"/>
    </row>
    <row r="28" spans="3:6" s="6" customFormat="1" ht="12.75">
      <c r="C28" s="436" t="s">
        <v>321</v>
      </c>
      <c r="D28" s="436"/>
      <c r="E28" s="436"/>
      <c r="F28" s="370">
        <f>SUM(F22:F26)</f>
        <v>2269519.316725868</v>
      </c>
    </row>
    <row r="29" s="6" customFormat="1" ht="12.75"/>
    <row r="30" spans="2:10" s="6" customFormat="1" ht="12.75">
      <c r="B30" s="314"/>
      <c r="C30" s="342"/>
      <c r="D30" s="343"/>
      <c r="E30" s="343"/>
      <c r="F30" s="343"/>
      <c r="G30" s="343"/>
      <c r="H30" s="343"/>
      <c r="I30" s="343"/>
      <c r="J30" s="343"/>
    </row>
    <row r="31" spans="2:10" s="6" customFormat="1" ht="12.75">
      <c r="B31" s="314"/>
      <c r="C31" s="437" t="s">
        <v>322</v>
      </c>
      <c r="D31" s="438"/>
      <c r="E31" s="438"/>
      <c r="F31" s="438"/>
      <c r="G31" s="438"/>
      <c r="H31" s="438"/>
      <c r="I31" s="438"/>
      <c r="J31" s="348"/>
    </row>
    <row r="32" spans="2:10" s="6" customFormat="1" ht="12.75">
      <c r="B32" s="314"/>
      <c r="C32" s="438"/>
      <c r="D32" s="438"/>
      <c r="E32" s="438"/>
      <c r="F32" s="438"/>
      <c r="G32" s="438"/>
      <c r="H32" s="438"/>
      <c r="I32" s="438"/>
      <c r="J32" s="344"/>
    </row>
    <row r="33" spans="2:10" s="6" customFormat="1" ht="12.75">
      <c r="B33" s="314"/>
      <c r="C33" s="438"/>
      <c r="D33" s="438"/>
      <c r="E33" s="438"/>
      <c r="F33" s="438"/>
      <c r="G33" s="438"/>
      <c r="H33" s="438"/>
      <c r="I33" s="438"/>
      <c r="J33" s="344"/>
    </row>
    <row r="34" spans="2:10" s="6" customFormat="1" ht="12.75">
      <c r="B34" s="314"/>
      <c r="C34" s="257"/>
      <c r="D34" s="341"/>
      <c r="E34" s="345"/>
      <c r="F34" s="345"/>
      <c r="G34" s="140"/>
      <c r="H34" s="140"/>
      <c r="I34" s="140"/>
      <c r="J34" s="140"/>
    </row>
    <row r="35" spans="2:10" s="6" customFormat="1" ht="12.75">
      <c r="B35" s="314"/>
      <c r="C35" s="257"/>
      <c r="D35" s="341"/>
      <c r="E35" s="345"/>
      <c r="F35" s="345"/>
      <c r="G35" s="140"/>
      <c r="H35" s="140"/>
      <c r="I35" s="140"/>
      <c r="J35" s="140"/>
    </row>
    <row r="36" spans="2:10" ht="15.75">
      <c r="B36" s="36" t="s">
        <v>24</v>
      </c>
      <c r="C36" s="35"/>
      <c r="D36" s="35"/>
      <c r="E36" s="145"/>
      <c r="F36" s="35"/>
      <c r="G36" s="179"/>
      <c r="H36" s="349"/>
      <c r="I36" s="34" t="s">
        <v>21</v>
      </c>
      <c r="J36" s="140"/>
    </row>
    <row r="37" spans="2:10" ht="12.75">
      <c r="B37" s="74"/>
      <c r="C37" s="257"/>
      <c r="D37" s="341"/>
      <c r="E37" s="345"/>
      <c r="F37" s="345"/>
      <c r="G37" s="140"/>
      <c r="H37" s="140"/>
      <c r="I37" s="140"/>
      <c r="J37" s="140"/>
    </row>
    <row r="38" spans="2:10" ht="12.75">
      <c r="B38" s="74"/>
      <c r="C38" s="257"/>
      <c r="D38" s="341"/>
      <c r="E38" s="345"/>
      <c r="F38" s="345"/>
      <c r="G38" s="140"/>
      <c r="H38" s="140"/>
      <c r="I38" s="140"/>
      <c r="J38" s="140"/>
    </row>
    <row r="39" spans="2:10" ht="12.75">
      <c r="B39" s="74"/>
      <c r="C39" s="257"/>
      <c r="D39" s="341"/>
      <c r="E39" s="345"/>
      <c r="F39" s="345"/>
      <c r="G39" s="140"/>
      <c r="H39" s="140"/>
      <c r="I39" s="140"/>
      <c r="J39" s="140"/>
    </row>
    <row r="40" spans="2:10" ht="12.75">
      <c r="B40" s="74"/>
      <c r="C40" s="257"/>
      <c r="D40" s="341"/>
      <c r="E40" s="345"/>
      <c r="F40" s="345"/>
      <c r="G40" s="140"/>
      <c r="H40" s="140"/>
      <c r="I40" s="140"/>
      <c r="J40" s="140"/>
    </row>
    <row r="41" spans="2:10" ht="12.75">
      <c r="B41" s="74"/>
      <c r="C41" s="141"/>
      <c r="D41" s="141"/>
      <c r="E41" s="141"/>
      <c r="F41" s="310"/>
      <c r="G41" s="346"/>
      <c r="H41" s="346"/>
      <c r="I41" s="347"/>
      <c r="J41" s="310"/>
    </row>
    <row r="42" spans="2:10" ht="12.75">
      <c r="B42" s="74"/>
      <c r="C42" s="435"/>
      <c r="D42" s="435"/>
      <c r="E42" s="141"/>
      <c r="F42" s="310"/>
      <c r="G42" s="346"/>
      <c r="H42" s="346"/>
      <c r="I42" s="347"/>
      <c r="J42" s="140"/>
    </row>
    <row r="43" spans="2:10" ht="12.75">
      <c r="B43" s="74"/>
      <c r="C43" s="436"/>
      <c r="D43" s="436"/>
      <c r="E43" s="141"/>
      <c r="F43" s="310"/>
      <c r="G43" s="346"/>
      <c r="H43" s="346"/>
      <c r="I43" s="347"/>
      <c r="J43" s="140"/>
    </row>
    <row r="44" spans="3:10" ht="12.75">
      <c r="C44" s="38"/>
      <c r="D44" s="38"/>
      <c r="E44" s="38"/>
      <c r="F44" s="38"/>
      <c r="G44" s="38"/>
      <c r="H44" s="38"/>
      <c r="I44" s="38"/>
      <c r="J44" s="38"/>
    </row>
    <row r="45" spans="3:10" ht="12.75">
      <c r="C45" s="38"/>
      <c r="D45" s="38"/>
      <c r="E45" s="38"/>
      <c r="F45" s="38"/>
      <c r="G45" s="38"/>
      <c r="H45" s="38"/>
      <c r="I45" s="38"/>
      <c r="J45" s="38"/>
    </row>
    <row r="46" spans="3:10" ht="12.75">
      <c r="C46" s="38"/>
      <c r="D46" s="38"/>
      <c r="E46" s="38"/>
      <c r="F46" s="38"/>
      <c r="G46" s="38"/>
      <c r="H46" s="38"/>
      <c r="I46" s="38"/>
      <c r="J46" s="38"/>
    </row>
    <row r="47" spans="3:10" ht="12.75">
      <c r="C47" s="38"/>
      <c r="D47" s="38"/>
      <c r="E47" s="38"/>
      <c r="F47" s="38"/>
      <c r="G47" s="38"/>
      <c r="H47" s="38"/>
      <c r="I47" s="38"/>
      <c r="J47" s="38"/>
    </row>
  </sheetData>
  <mergeCells count="12">
    <mergeCell ref="C28:E28"/>
    <mergeCell ref="B4:D4"/>
    <mergeCell ref="C42:D42"/>
    <mergeCell ref="C43:D43"/>
    <mergeCell ref="H4:I4"/>
    <mergeCell ref="B6:I6"/>
    <mergeCell ref="C31:I33"/>
    <mergeCell ref="C22:E22"/>
    <mergeCell ref="C23:E23"/>
    <mergeCell ref="C24:E24"/>
    <mergeCell ref="C25:E25"/>
    <mergeCell ref="C26:E26"/>
  </mergeCells>
  <hyperlinks>
    <hyperlink ref="H4" location="Índice!B6" display="Volver"/>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98"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33"/>
  <sheetViews>
    <sheetView showGridLines="0" view="pageBreakPreview" zoomScale="80" zoomScaleSheetLayoutView="80" workbookViewId="0" topLeftCell="A1">
      <selection activeCell="A1" sqref="A1"/>
    </sheetView>
  </sheetViews>
  <sheetFormatPr defaultColWidth="9.140625" defaultRowHeight="12.75"/>
  <cols>
    <col min="1" max="1" width="5.57421875" style="0" customWidth="1"/>
    <col min="2" max="2" width="8.421875" style="0" customWidth="1"/>
    <col min="3" max="3" width="19.00390625" style="0" customWidth="1"/>
    <col min="4" max="4" width="11.57421875" style="0" customWidth="1"/>
    <col min="5" max="5" width="10.140625" style="0" customWidth="1"/>
    <col min="6" max="6" width="7.8515625" style="0" customWidth="1"/>
    <col min="7" max="7" width="13.28125" style="0" customWidth="1"/>
    <col min="8" max="9" width="11.421875" style="0" customWidth="1"/>
    <col min="10" max="10" width="12.140625" style="0" customWidth="1"/>
    <col min="11" max="11" width="12.28125" style="0" customWidth="1"/>
    <col min="12" max="12" width="14.28125" style="0" customWidth="1"/>
    <col min="13" max="13" width="14.140625" style="0" customWidth="1"/>
    <col min="14" max="14" width="14.8515625" style="0" customWidth="1"/>
    <col min="15" max="15" width="14.7109375" style="0" customWidth="1"/>
    <col min="16" max="16" width="14.421875" style="0" customWidth="1"/>
    <col min="17" max="17" width="13.28125" style="0" customWidth="1"/>
    <col min="19" max="19" width="4.7109375" style="0" customWidth="1"/>
  </cols>
  <sheetData>
    <row r="1" ht="12.75">
      <c r="A1" s="192"/>
    </row>
    <row r="2" spans="18:23" ht="12.75">
      <c r="R2" s="59" t="s">
        <v>22</v>
      </c>
      <c r="S2" s="59"/>
      <c r="T2" s="59"/>
      <c r="U2" s="59"/>
      <c r="V2" s="59"/>
      <c r="W2" s="59"/>
    </row>
    <row r="4" spans="2:19" s="6" customFormat="1" ht="12.75">
      <c r="B4" s="392" t="s">
        <v>335</v>
      </c>
      <c r="C4" s="392"/>
      <c r="D4" s="392"/>
      <c r="Q4" s="412" t="s">
        <v>8</v>
      </c>
      <c r="R4" s="412"/>
      <c r="S4" s="164"/>
    </row>
    <row r="5" s="6" customFormat="1" ht="12.75"/>
    <row r="6" spans="2:18" s="6" customFormat="1" ht="18.75">
      <c r="B6" s="419" t="s">
        <v>334</v>
      </c>
      <c r="C6" s="419"/>
      <c r="D6" s="419"/>
      <c r="E6" s="419"/>
      <c r="F6" s="419"/>
      <c r="G6" s="419"/>
      <c r="H6" s="419"/>
      <c r="I6" s="419"/>
      <c r="J6" s="419"/>
      <c r="K6" s="419"/>
      <c r="L6" s="419"/>
      <c r="M6" s="419"/>
      <c r="N6" s="419"/>
      <c r="O6" s="419"/>
      <c r="P6" s="419"/>
      <c r="Q6" s="419"/>
      <c r="R6" s="419"/>
    </row>
    <row r="7" spans="3:17" s="6" customFormat="1" ht="12.75">
      <c r="C7" s="313"/>
      <c r="D7" s="314"/>
      <c r="E7" s="314"/>
      <c r="F7" s="314"/>
      <c r="G7" s="314"/>
      <c r="H7" s="314"/>
      <c r="I7" s="314"/>
      <c r="J7" s="314"/>
      <c r="K7" s="314"/>
      <c r="L7" s="314"/>
      <c r="M7" s="314"/>
      <c r="N7" s="314"/>
      <c r="O7" s="314"/>
      <c r="P7" s="314"/>
      <c r="Q7" s="314"/>
    </row>
    <row r="8" spans="2:17" s="6" customFormat="1" ht="15.75">
      <c r="B8" s="48" t="s">
        <v>364</v>
      </c>
      <c r="C8" s="393" t="s">
        <v>303</v>
      </c>
      <c r="D8" s="441"/>
      <c r="E8" s="441"/>
      <c r="F8" s="441"/>
      <c r="G8" s="441"/>
      <c r="H8" s="441"/>
      <c r="I8" s="441"/>
      <c r="J8" s="441"/>
      <c r="K8" s="441"/>
      <c r="L8" s="441"/>
      <c r="M8" s="441"/>
      <c r="N8" s="441"/>
      <c r="O8" s="441"/>
      <c r="P8" s="441"/>
      <c r="Q8" s="441"/>
    </row>
    <row r="9" spans="3:17" s="6" customFormat="1" ht="12.75">
      <c r="C9" s="441"/>
      <c r="D9" s="441"/>
      <c r="E9" s="441"/>
      <c r="F9" s="441"/>
      <c r="G9" s="441"/>
      <c r="H9" s="441"/>
      <c r="I9" s="441"/>
      <c r="J9" s="441"/>
      <c r="K9" s="441"/>
      <c r="L9" s="441"/>
      <c r="M9" s="441"/>
      <c r="N9" s="441"/>
      <c r="O9" s="441"/>
      <c r="P9" s="441"/>
      <c r="Q9" s="441"/>
    </row>
    <row r="10" spans="3:17" s="6" customFormat="1" ht="12.75">
      <c r="C10" s="441"/>
      <c r="D10" s="441"/>
      <c r="E10" s="441"/>
      <c r="F10" s="441"/>
      <c r="G10" s="441"/>
      <c r="H10" s="441"/>
      <c r="I10" s="441"/>
      <c r="J10" s="441"/>
      <c r="K10" s="441"/>
      <c r="L10" s="441"/>
      <c r="M10" s="441"/>
      <c r="N10" s="441"/>
      <c r="O10" s="441"/>
      <c r="P10" s="441"/>
      <c r="Q10" s="441"/>
    </row>
    <row r="11" spans="3:17" s="6" customFormat="1" ht="12.75">
      <c r="C11" s="441"/>
      <c r="D11" s="441"/>
      <c r="E11" s="441"/>
      <c r="F11" s="441"/>
      <c r="G11" s="441"/>
      <c r="H11" s="441"/>
      <c r="I11" s="441"/>
      <c r="J11" s="441"/>
      <c r="K11" s="441"/>
      <c r="L11" s="441"/>
      <c r="M11" s="441"/>
      <c r="N11" s="441"/>
      <c r="O11" s="441"/>
      <c r="P11" s="441"/>
      <c r="Q11" s="441"/>
    </row>
    <row r="12" spans="3:17" s="6" customFormat="1" ht="12.75">
      <c r="C12" s="316"/>
      <c r="D12" s="317"/>
      <c r="E12" s="317"/>
      <c r="F12" s="317"/>
      <c r="G12" s="317"/>
      <c r="H12" s="317"/>
      <c r="I12" s="317"/>
      <c r="J12" s="317"/>
      <c r="K12" s="317"/>
      <c r="L12" s="317"/>
      <c r="M12" s="317"/>
      <c r="N12" s="317"/>
      <c r="O12" s="317"/>
      <c r="P12" s="317"/>
      <c r="Q12" s="317"/>
    </row>
    <row r="13" spans="3:17" s="6" customFormat="1" ht="34.5" customHeight="1" thickBot="1">
      <c r="C13" s="315" t="s">
        <v>230</v>
      </c>
      <c r="D13" s="371" t="s">
        <v>356</v>
      </c>
      <c r="E13" s="371" t="s">
        <v>357</v>
      </c>
      <c r="F13" s="371" t="s">
        <v>355</v>
      </c>
      <c r="G13" s="252" t="s">
        <v>231</v>
      </c>
      <c r="H13" s="252" t="s">
        <v>232</v>
      </c>
      <c r="I13" s="252" t="s">
        <v>233</v>
      </c>
      <c r="J13" s="252" t="s">
        <v>234</v>
      </c>
      <c r="K13" s="252" t="s">
        <v>235</v>
      </c>
      <c r="L13" s="252" t="s">
        <v>236</v>
      </c>
      <c r="M13" s="252" t="s">
        <v>237</v>
      </c>
      <c r="N13" s="252" t="s">
        <v>238</v>
      </c>
      <c r="O13" s="252" t="s">
        <v>239</v>
      </c>
      <c r="P13" s="252" t="s">
        <v>240</v>
      </c>
      <c r="Q13" s="252" t="s">
        <v>241</v>
      </c>
    </row>
    <row r="14" spans="2:17" s="6" customFormat="1" ht="12.75">
      <c r="B14" s="48"/>
      <c r="C14" s="283"/>
      <c r="D14" s="284"/>
      <c r="E14" s="284"/>
      <c r="F14" s="284"/>
      <c r="G14" s="284"/>
      <c r="H14" s="284"/>
      <c r="I14" s="284"/>
      <c r="J14" s="284"/>
      <c r="K14" s="284"/>
      <c r="L14" s="284"/>
      <c r="M14" s="284"/>
      <c r="N14" s="284"/>
      <c r="O14" s="284"/>
      <c r="P14" s="284"/>
      <c r="Q14" s="284"/>
    </row>
    <row r="15" spans="2:17" s="6" customFormat="1" ht="12.75">
      <c r="B15" s="48"/>
      <c r="C15" s="286" t="s">
        <v>73</v>
      </c>
      <c r="D15" s="287">
        <v>7.774375250406004</v>
      </c>
      <c r="E15" s="288"/>
      <c r="F15" s="288"/>
      <c r="G15" s="289"/>
      <c r="H15" s="289"/>
      <c r="I15" s="289"/>
      <c r="J15" s="289"/>
      <c r="K15" s="289"/>
      <c r="L15" s="289"/>
      <c r="M15" s="289"/>
      <c r="N15" s="289"/>
      <c r="O15" s="289"/>
      <c r="P15" s="289"/>
      <c r="Q15" s="289"/>
    </row>
    <row r="16" spans="2:17" s="6" customFormat="1" ht="12.75">
      <c r="B16" s="48"/>
      <c r="C16" s="275" t="s">
        <v>74</v>
      </c>
      <c r="D16" s="279">
        <v>0.75</v>
      </c>
      <c r="E16" s="280"/>
      <c r="F16" s="280"/>
      <c r="G16" s="276"/>
      <c r="H16" s="276"/>
      <c r="I16" s="276"/>
      <c r="J16" s="276"/>
      <c r="K16" s="276"/>
      <c r="L16" s="276"/>
      <c r="M16" s="276"/>
      <c r="N16" s="276"/>
      <c r="O16" s="276"/>
      <c r="P16" s="276"/>
      <c r="Q16" s="276"/>
    </row>
    <row r="17" spans="2:17" s="6" customFormat="1" ht="12.75">
      <c r="B17" s="48"/>
      <c r="C17" s="286" t="s">
        <v>75</v>
      </c>
      <c r="D17" s="287">
        <v>0.7</v>
      </c>
      <c r="E17" s="290"/>
      <c r="F17" s="290"/>
      <c r="G17" s="291"/>
      <c r="H17" s="291"/>
      <c r="I17" s="291"/>
      <c r="J17" s="291"/>
      <c r="K17" s="291"/>
      <c r="L17" s="292"/>
      <c r="M17" s="292"/>
      <c r="N17" s="292"/>
      <c r="O17" s="292"/>
      <c r="P17" s="292"/>
      <c r="Q17" s="292"/>
    </row>
    <row r="18" spans="2:17" s="6" customFormat="1" ht="12.75">
      <c r="B18" s="48"/>
      <c r="C18" s="275" t="s">
        <v>76</v>
      </c>
      <c r="D18" s="281"/>
      <c r="E18" s="282">
        <v>0.72</v>
      </c>
      <c r="F18" s="282">
        <v>0.1108</v>
      </c>
      <c r="G18" s="277">
        <v>1687249</v>
      </c>
      <c r="H18" s="285">
        <f aca="true" t="shared" si="0" ref="H18:K24">G18*(1-$E18/1000)</f>
        <v>1686034.1807199998</v>
      </c>
      <c r="I18" s="285">
        <f t="shared" si="0"/>
        <v>1684820.2361098814</v>
      </c>
      <c r="J18" s="285">
        <f t="shared" si="0"/>
        <v>1683607.1655398821</v>
      </c>
      <c r="K18" s="285">
        <f t="shared" si="0"/>
        <v>1682394.9683806933</v>
      </c>
      <c r="L18" s="285">
        <f aca="true" t="shared" si="1" ref="L18:P24">G18*$F18</f>
        <v>186947.1892</v>
      </c>
      <c r="M18" s="285">
        <f t="shared" si="1"/>
        <v>186812.58722377598</v>
      </c>
      <c r="N18" s="285">
        <f t="shared" si="1"/>
        <v>186678.08216097485</v>
      </c>
      <c r="O18" s="285">
        <f t="shared" si="1"/>
        <v>186543.67394181894</v>
      </c>
      <c r="P18" s="285">
        <f t="shared" si="1"/>
        <v>186409.3624965808</v>
      </c>
      <c r="Q18" s="278"/>
    </row>
    <row r="19" spans="2:17" s="6" customFormat="1" ht="12.75">
      <c r="B19" s="48"/>
      <c r="C19" s="286" t="s">
        <v>77</v>
      </c>
      <c r="D19" s="293"/>
      <c r="E19" s="294">
        <v>0.92</v>
      </c>
      <c r="F19" s="294">
        <v>0.173</v>
      </c>
      <c r="G19" s="121">
        <v>1648276</v>
      </c>
      <c r="H19" s="124">
        <f t="shared" si="0"/>
        <v>1646759.58608</v>
      </c>
      <c r="I19" s="124">
        <f t="shared" si="0"/>
        <v>1645244.5672608064</v>
      </c>
      <c r="J19" s="124">
        <f t="shared" si="0"/>
        <v>1643730.9422589263</v>
      </c>
      <c r="K19" s="124">
        <f t="shared" si="0"/>
        <v>1642218.709792048</v>
      </c>
      <c r="L19" s="124">
        <f t="shared" si="1"/>
        <v>285151.74799999996</v>
      </c>
      <c r="M19" s="124">
        <f t="shared" si="1"/>
        <v>284889.40839184</v>
      </c>
      <c r="N19" s="124">
        <f t="shared" si="1"/>
        <v>284627.3101361195</v>
      </c>
      <c r="O19" s="124">
        <f t="shared" si="1"/>
        <v>284365.45301079424</v>
      </c>
      <c r="P19" s="124">
        <f t="shared" si="1"/>
        <v>284103.8367940243</v>
      </c>
      <c r="Q19" s="292"/>
    </row>
    <row r="20" spans="2:17" s="6" customFormat="1" ht="12.75">
      <c r="B20" s="48"/>
      <c r="C20" s="275" t="s">
        <v>78</v>
      </c>
      <c r="D20" s="281"/>
      <c r="E20" s="282">
        <v>1.13</v>
      </c>
      <c r="F20" s="282">
        <v>0.1422</v>
      </c>
      <c r="G20" s="277">
        <v>1557235</v>
      </c>
      <c r="H20" s="285">
        <f t="shared" si="0"/>
        <v>1555475.32445</v>
      </c>
      <c r="I20" s="285">
        <f t="shared" si="0"/>
        <v>1553717.6373333714</v>
      </c>
      <c r="J20" s="285">
        <f t="shared" si="0"/>
        <v>1551961.936403185</v>
      </c>
      <c r="K20" s="285">
        <f t="shared" si="0"/>
        <v>1550208.2194150493</v>
      </c>
      <c r="L20" s="285">
        <f t="shared" si="1"/>
        <v>221438.81699999998</v>
      </c>
      <c r="M20" s="285">
        <f t="shared" si="1"/>
        <v>221188.59113679</v>
      </c>
      <c r="N20" s="285">
        <f t="shared" si="1"/>
        <v>220938.64802880542</v>
      </c>
      <c r="O20" s="285">
        <f t="shared" si="1"/>
        <v>220688.9873565329</v>
      </c>
      <c r="P20" s="285">
        <f t="shared" si="1"/>
        <v>220439.60880082</v>
      </c>
      <c r="Q20" s="278"/>
    </row>
    <row r="21" spans="2:17" s="6" customFormat="1" ht="12.75">
      <c r="B21" s="48"/>
      <c r="C21" s="286" t="s">
        <v>61</v>
      </c>
      <c r="D21" s="293"/>
      <c r="E21" s="294">
        <v>1.44</v>
      </c>
      <c r="F21" s="294">
        <v>0.0973</v>
      </c>
      <c r="G21" s="121">
        <v>1389426</v>
      </c>
      <c r="H21" s="124">
        <f t="shared" si="0"/>
        <v>1387425.22656</v>
      </c>
      <c r="I21" s="124">
        <f t="shared" si="0"/>
        <v>1385427.3342337536</v>
      </c>
      <c r="J21" s="124">
        <f t="shared" si="0"/>
        <v>1383432.318872457</v>
      </c>
      <c r="K21" s="124">
        <f t="shared" si="0"/>
        <v>1381440.1763332805</v>
      </c>
      <c r="L21" s="124">
        <f t="shared" si="1"/>
        <v>135191.14979999998</v>
      </c>
      <c r="M21" s="124">
        <f t="shared" si="1"/>
        <v>134996.474544288</v>
      </c>
      <c r="N21" s="124">
        <f t="shared" si="1"/>
        <v>134802.07962094422</v>
      </c>
      <c r="O21" s="124">
        <f t="shared" si="1"/>
        <v>134607.96462629005</v>
      </c>
      <c r="P21" s="124">
        <f t="shared" si="1"/>
        <v>134414.1291572282</v>
      </c>
      <c r="Q21" s="292"/>
    </row>
    <row r="22" spans="2:17" s="6" customFormat="1" ht="12.75">
      <c r="B22" s="48"/>
      <c r="C22" s="275" t="s">
        <v>62</v>
      </c>
      <c r="D22" s="281"/>
      <c r="E22" s="282">
        <v>1.9</v>
      </c>
      <c r="F22" s="282">
        <v>0.0558</v>
      </c>
      <c r="G22" s="277">
        <v>1159397</v>
      </c>
      <c r="H22" s="285">
        <f t="shared" si="0"/>
        <v>1157194.1457</v>
      </c>
      <c r="I22" s="285">
        <f t="shared" si="0"/>
        <v>1154995.47682317</v>
      </c>
      <c r="J22" s="285">
        <f t="shared" si="0"/>
        <v>1152800.9854172058</v>
      </c>
      <c r="K22" s="285">
        <f t="shared" si="0"/>
        <v>1150610.663544913</v>
      </c>
      <c r="L22" s="285">
        <f t="shared" si="1"/>
        <v>64694.352600000006</v>
      </c>
      <c r="M22" s="285">
        <f t="shared" si="1"/>
        <v>64571.433330060005</v>
      </c>
      <c r="N22" s="285">
        <f t="shared" si="1"/>
        <v>64448.74760673289</v>
      </c>
      <c r="O22" s="285">
        <f t="shared" si="1"/>
        <v>64326.29498628009</v>
      </c>
      <c r="P22" s="285">
        <f t="shared" si="1"/>
        <v>64204.07502580615</v>
      </c>
      <c r="Q22" s="278"/>
    </row>
    <row r="23" spans="2:17" s="6" customFormat="1" ht="12.75">
      <c r="B23" s="48"/>
      <c r="C23" s="286" t="s">
        <v>79</v>
      </c>
      <c r="D23" s="293"/>
      <c r="E23" s="294">
        <v>2.91</v>
      </c>
      <c r="F23" s="294">
        <v>0.0215</v>
      </c>
      <c r="G23" s="121">
        <v>871241</v>
      </c>
      <c r="H23" s="124">
        <f t="shared" si="0"/>
        <v>868705.68869</v>
      </c>
      <c r="I23" s="124">
        <f t="shared" si="0"/>
        <v>866177.7551359121</v>
      </c>
      <c r="J23" s="124">
        <f t="shared" si="0"/>
        <v>863657.1778684666</v>
      </c>
      <c r="K23" s="124">
        <f t="shared" si="0"/>
        <v>861143.9354808694</v>
      </c>
      <c r="L23" s="124">
        <f t="shared" si="1"/>
        <v>18731.6815</v>
      </c>
      <c r="M23" s="124">
        <f t="shared" si="1"/>
        <v>18677.172306834997</v>
      </c>
      <c r="N23" s="124">
        <f t="shared" si="1"/>
        <v>18622.82173542211</v>
      </c>
      <c r="O23" s="124">
        <f t="shared" si="1"/>
        <v>18568.62932417203</v>
      </c>
      <c r="P23" s="124">
        <f t="shared" si="1"/>
        <v>18514.59461283869</v>
      </c>
      <c r="Q23" s="292"/>
    </row>
    <row r="24" spans="2:17" s="6" customFormat="1" ht="13.5" thickBot="1">
      <c r="B24" s="48"/>
      <c r="C24" s="297" t="s">
        <v>80</v>
      </c>
      <c r="D24" s="298"/>
      <c r="E24" s="299">
        <v>4.36</v>
      </c>
      <c r="F24" s="299">
        <v>0.0065</v>
      </c>
      <c r="G24" s="300">
        <v>673696</v>
      </c>
      <c r="H24" s="301">
        <f t="shared" si="0"/>
        <v>670758.68544</v>
      </c>
      <c r="I24" s="301">
        <f t="shared" si="0"/>
        <v>667834.1775714816</v>
      </c>
      <c r="J24" s="301">
        <f t="shared" si="0"/>
        <v>664922.4205572698</v>
      </c>
      <c r="K24" s="301">
        <f t="shared" si="0"/>
        <v>662023.3588036401</v>
      </c>
      <c r="L24" s="301">
        <f t="shared" si="1"/>
        <v>4379.023999999999</v>
      </c>
      <c r="M24" s="301">
        <f t="shared" si="1"/>
        <v>4359.93145536</v>
      </c>
      <c r="N24" s="301">
        <f t="shared" si="1"/>
        <v>4340.92215421463</v>
      </c>
      <c r="O24" s="301">
        <f t="shared" si="1"/>
        <v>4321.995733622253</v>
      </c>
      <c r="P24" s="301">
        <f t="shared" si="1"/>
        <v>4303.151832223661</v>
      </c>
      <c r="Q24" s="302"/>
    </row>
    <row r="25" spans="2:17" s="6" customFormat="1" ht="13.5" thickBot="1">
      <c r="B25" s="48"/>
      <c r="C25" s="306"/>
      <c r="D25" s="306"/>
      <c r="E25" s="306"/>
      <c r="F25" s="307"/>
      <c r="G25" s="307"/>
      <c r="H25" s="307"/>
      <c r="I25" s="308"/>
      <c r="J25" s="308"/>
      <c r="K25" s="309"/>
      <c r="L25" s="307"/>
      <c r="M25" s="307"/>
      <c r="N25" s="307"/>
      <c r="O25" s="307"/>
      <c r="P25" s="307"/>
      <c r="Q25" s="307"/>
    </row>
    <row r="26" spans="2:17" s="6" customFormat="1" ht="12.75">
      <c r="B26" s="48"/>
      <c r="C26" s="439" t="s">
        <v>241</v>
      </c>
      <c r="D26" s="439"/>
      <c r="E26" s="121"/>
      <c r="F26" s="292"/>
      <c r="G26" s="292"/>
      <c r="H26" s="292"/>
      <c r="I26" s="265"/>
      <c r="J26" s="265"/>
      <c r="K26" s="267"/>
      <c r="L26" s="124">
        <f>SUM(L18:L24)</f>
        <v>916533.9620999998</v>
      </c>
      <c r="M26" s="124">
        <f>SUM(M18:M24)</f>
        <v>915495.598388949</v>
      </c>
      <c r="N26" s="124">
        <f>SUM(N18:N24)</f>
        <v>914458.6114432135</v>
      </c>
      <c r="O26" s="124">
        <f>SUM(O18:O24)</f>
        <v>913422.9989795104</v>
      </c>
      <c r="P26" s="124">
        <f>SUM(P18:P24)</f>
        <v>912388.7587195218</v>
      </c>
      <c r="Q26" s="295">
        <f>SUM(L26:P26)</f>
        <v>4572299.929631194</v>
      </c>
    </row>
    <row r="27" spans="2:17" s="6" customFormat="1" ht="12.75">
      <c r="B27" s="48"/>
      <c r="C27" s="440" t="s">
        <v>242</v>
      </c>
      <c r="D27" s="440"/>
      <c r="E27" s="121"/>
      <c r="F27" s="292"/>
      <c r="G27" s="292"/>
      <c r="H27" s="292"/>
      <c r="I27" s="265"/>
      <c r="J27" s="265"/>
      <c r="K27" s="267"/>
      <c r="L27" s="124">
        <f>L26*0.503</f>
        <v>461016.5829362999</v>
      </c>
      <c r="M27" s="124">
        <f>M26*0.503</f>
        <v>460494.2859896413</v>
      </c>
      <c r="N27" s="124">
        <f>N26*0.503</f>
        <v>459972.6815559364</v>
      </c>
      <c r="O27" s="124">
        <f>O26*0.503</f>
        <v>459451.76848669373</v>
      </c>
      <c r="P27" s="124">
        <f>P26*0.503</f>
        <v>458931.5456359195</v>
      </c>
      <c r="Q27" s="295">
        <f>SUM(L27:P27)</f>
        <v>2299866.864604491</v>
      </c>
    </row>
    <row r="28" spans="2:17" s="6" customFormat="1" ht="12.75">
      <c r="B28" s="48"/>
      <c r="C28" s="286" t="s">
        <v>243</v>
      </c>
      <c r="D28" s="286"/>
      <c r="E28" s="292"/>
      <c r="F28" s="292"/>
      <c r="G28" s="292"/>
      <c r="H28" s="292"/>
      <c r="I28" s="292"/>
      <c r="J28" s="292"/>
      <c r="K28" s="292"/>
      <c r="L28" s="296">
        <f>(1-$D15/1000)^4</f>
        <v>0.9692632685534085</v>
      </c>
      <c r="M28" s="296">
        <f>(1-$D15/1000)^3</f>
        <v>0.9768577270900654</v>
      </c>
      <c r="N28" s="296">
        <f>(1-$D15/1000)^2</f>
        <v>0.9845116904097221</v>
      </c>
      <c r="O28" s="296">
        <f>(1-$D15/1000)^1</f>
        <v>0.992225624749594</v>
      </c>
      <c r="P28" s="296">
        <f>(1-$D15/1000)^0</f>
        <v>1</v>
      </c>
      <c r="Q28" s="295"/>
    </row>
    <row r="29" spans="2:17" s="6" customFormat="1" ht="26.25" thickBot="1">
      <c r="B29" s="48"/>
      <c r="C29" s="352" t="s">
        <v>53</v>
      </c>
      <c r="D29" s="303"/>
      <c r="E29" s="303"/>
      <c r="F29" s="303"/>
      <c r="G29" s="303"/>
      <c r="H29" s="303"/>
      <c r="I29" s="303"/>
      <c r="J29" s="303"/>
      <c r="K29" s="303"/>
      <c r="L29" s="304">
        <f>L27*L28</f>
        <v>446846.44003416155</v>
      </c>
      <c r="M29" s="304">
        <f>M27*M28</f>
        <v>449837.40154980356</v>
      </c>
      <c r="N29" s="304">
        <f>N27*N28</f>
        <v>452848.48226092773</v>
      </c>
      <c r="O29" s="304">
        <f>O27*O28</f>
        <v>455879.8180290155</v>
      </c>
      <c r="P29" s="304">
        <f>P27*P28</f>
        <v>458931.5456359195</v>
      </c>
      <c r="Q29" s="305">
        <f>SUM(L29:P29)</f>
        <v>2264343.687509828</v>
      </c>
    </row>
    <row r="30" spans="2:5" s="6" customFormat="1" ht="12.75">
      <c r="B30" s="48"/>
      <c r="C30" s="317"/>
      <c r="D30" s="317"/>
      <c r="E30" s="317"/>
    </row>
    <row r="31" spans="2:17" s="6" customFormat="1" ht="12.75">
      <c r="B31" s="48"/>
      <c r="C31" s="436"/>
      <c r="D31" s="436"/>
      <c r="E31" s="436"/>
      <c r="F31" s="310"/>
      <c r="G31" s="310"/>
      <c r="H31" s="310"/>
      <c r="I31" s="310"/>
      <c r="J31" s="310"/>
      <c r="K31" s="310"/>
      <c r="L31" s="140"/>
      <c r="M31" s="140"/>
      <c r="N31" s="140"/>
      <c r="O31" s="140"/>
      <c r="P31" s="140"/>
      <c r="Q31" s="311"/>
    </row>
    <row r="32" spans="1:2" s="312" customFormat="1" ht="12.75">
      <c r="A32" s="6"/>
      <c r="B32" s="48"/>
    </row>
    <row r="33" spans="2:19" s="6" customFormat="1" ht="15.75">
      <c r="B33" s="36" t="s">
        <v>24</v>
      </c>
      <c r="C33" s="35"/>
      <c r="D33" s="35"/>
      <c r="E33" s="35"/>
      <c r="F33" s="35"/>
      <c r="G33" s="35"/>
      <c r="H33" s="35"/>
      <c r="I33" s="35"/>
      <c r="J33" s="35"/>
      <c r="K33" s="35"/>
      <c r="L33" s="35"/>
      <c r="M33" s="35"/>
      <c r="N33" s="35"/>
      <c r="O33" s="35"/>
      <c r="P33" s="422" t="s">
        <v>21</v>
      </c>
      <c r="Q33" s="422"/>
      <c r="R33" s="422"/>
      <c r="S33" s="43"/>
    </row>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row r="44" s="6" customFormat="1" ht="12.75"/>
  </sheetData>
  <mergeCells count="8">
    <mergeCell ref="P33:R33"/>
    <mergeCell ref="C31:E31"/>
    <mergeCell ref="B6:R6"/>
    <mergeCell ref="Q4:R4"/>
    <mergeCell ref="C26:D26"/>
    <mergeCell ref="C27:D27"/>
    <mergeCell ref="C8:Q11"/>
    <mergeCell ref="B4:D4"/>
  </mergeCells>
  <hyperlinks>
    <hyperlink ref="Q4:R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55"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12"/>
  <sheetViews>
    <sheetView showGridLines="0" view="pageBreakPreview" zoomScale="80" zoomScaleSheetLayoutView="80" workbookViewId="0" topLeftCell="A1">
      <selection activeCell="A1" sqref="A1"/>
    </sheetView>
  </sheetViews>
  <sheetFormatPr defaultColWidth="9.140625" defaultRowHeight="12.75"/>
  <cols>
    <col min="2" max="2" width="9.00390625" style="0" customWidth="1"/>
    <col min="3" max="3" width="29.8515625" style="0" customWidth="1"/>
    <col min="4" max="4" width="22.7109375" style="0" customWidth="1"/>
    <col min="5" max="5" width="10.140625" style="0" customWidth="1"/>
    <col min="6" max="6" width="7.8515625" style="0" customWidth="1"/>
    <col min="7" max="7" width="14.421875" style="0" customWidth="1"/>
    <col min="8" max="8" width="13.28125" style="0" customWidth="1"/>
  </cols>
  <sheetData>
    <row r="1" ht="12.75">
      <c r="A1" s="192"/>
    </row>
    <row r="2" spans="9:14" ht="12.75">
      <c r="I2" s="59" t="s">
        <v>22</v>
      </c>
      <c r="J2" s="59"/>
      <c r="K2" s="59"/>
      <c r="L2" s="59"/>
      <c r="M2" s="59"/>
      <c r="N2" s="59"/>
    </row>
    <row r="4" spans="2:10" s="6" customFormat="1" ht="12.75">
      <c r="B4" s="392" t="s">
        <v>335</v>
      </c>
      <c r="C4" s="392"/>
      <c r="D4" s="392"/>
      <c r="H4" s="412" t="s">
        <v>8</v>
      </c>
      <c r="I4" s="412"/>
      <c r="J4" s="164"/>
    </row>
    <row r="5" s="6" customFormat="1" ht="12.75"/>
    <row r="6" spans="2:9" s="6" customFormat="1" ht="18.75">
      <c r="B6" s="419" t="s">
        <v>334</v>
      </c>
      <c r="C6" s="419"/>
      <c r="D6" s="419"/>
      <c r="E6" s="419"/>
      <c r="F6" s="419"/>
      <c r="G6" s="419"/>
      <c r="H6" s="419"/>
      <c r="I6" s="419"/>
    </row>
    <row r="7" spans="3:8" s="6" customFormat="1" ht="12.75">
      <c r="C7" s="313"/>
      <c r="D7" s="314"/>
      <c r="E7" s="314"/>
      <c r="F7" s="314"/>
      <c r="G7" s="314"/>
      <c r="H7" s="314"/>
    </row>
    <row r="8" spans="2:8" s="6" customFormat="1" ht="15" customHeight="1">
      <c r="B8" s="48" t="s">
        <v>365</v>
      </c>
      <c r="C8" s="381" t="s">
        <v>305</v>
      </c>
      <c r="D8" s="381"/>
      <c r="E8" s="381"/>
      <c r="F8" s="381"/>
      <c r="G8" s="258"/>
      <c r="H8" s="258"/>
    </row>
    <row r="9" spans="2:8" s="6" customFormat="1" ht="12.75">
      <c r="B9" s="314"/>
      <c r="C9" s="322"/>
      <c r="D9" s="322"/>
      <c r="E9" s="322"/>
      <c r="F9" s="322"/>
      <c r="G9" s="322"/>
      <c r="H9" s="322"/>
    </row>
    <row r="10" spans="2:8" s="6" customFormat="1" ht="12.75">
      <c r="B10" s="314"/>
      <c r="C10" s="286" t="s">
        <v>54</v>
      </c>
      <c r="D10" s="323">
        <f>'Rta_1.12'!Q29*(1-'Rta_1.12'!D16/1000)^5</f>
        <v>2255865.1260657897</v>
      </c>
      <c r="E10" s="310"/>
      <c r="F10" s="310"/>
      <c r="G10" s="140"/>
      <c r="H10" s="317"/>
    </row>
    <row r="11" spans="2:8" s="6" customFormat="1" ht="12.75">
      <c r="B11" s="314"/>
      <c r="C11" s="321"/>
      <c r="D11" s="321"/>
      <c r="E11" s="321"/>
      <c r="F11" s="321"/>
      <c r="G11" s="321"/>
      <c r="H11" s="321"/>
    </row>
    <row r="12" spans="2:10" s="6" customFormat="1" ht="15.75">
      <c r="B12" s="36" t="s">
        <v>24</v>
      </c>
      <c r="C12" s="35"/>
      <c r="D12" s="35"/>
      <c r="E12" s="35"/>
      <c r="F12" s="35"/>
      <c r="G12" s="422" t="s">
        <v>21</v>
      </c>
      <c r="H12" s="422"/>
      <c r="I12" s="422"/>
      <c r="J12" s="43"/>
    </row>
    <row r="13" s="6" customFormat="1" ht="12.75"/>
    <row r="14" s="6" customFormat="1" ht="12.75"/>
    <row r="15" s="6" customFormat="1" ht="12.75"/>
    <row r="16" s="6" customFormat="1" ht="12.75"/>
    <row r="17" s="6" customFormat="1" ht="12.75"/>
    <row r="18" s="6" customFormat="1" ht="12.75"/>
    <row r="19" s="6" customFormat="1" ht="12.75"/>
    <row r="20" s="6" customFormat="1" ht="12.75"/>
    <row r="21" s="6" customFormat="1" ht="12.75"/>
    <row r="22" s="6" customFormat="1" ht="12.75"/>
    <row r="23" s="6" customFormat="1" ht="12.75"/>
  </sheetData>
  <mergeCells count="5">
    <mergeCell ref="G12:I12"/>
    <mergeCell ref="B6:I6"/>
    <mergeCell ref="H4:I4"/>
    <mergeCell ref="C8:F8"/>
    <mergeCell ref="B4:D4"/>
  </mergeCells>
  <hyperlinks>
    <hyperlink ref="H4:I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91"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25"/>
  <sheetViews>
    <sheetView showGridLines="0" view="pageBreakPreview" zoomScale="80" zoomScaleSheetLayoutView="80" workbookViewId="0" topLeftCell="A1">
      <selection activeCell="A1" sqref="A1"/>
    </sheetView>
  </sheetViews>
  <sheetFormatPr defaultColWidth="9.140625" defaultRowHeight="12.75"/>
  <cols>
    <col min="2" max="2" width="5.57421875" style="0" customWidth="1"/>
    <col min="5" max="5" width="17.140625" style="0" customWidth="1"/>
  </cols>
  <sheetData>
    <row r="1" ht="12.75">
      <c r="A1" s="192"/>
    </row>
    <row r="2" spans="2:7" ht="12.75">
      <c r="B2" s="430" t="s">
        <v>22</v>
      </c>
      <c r="C2" s="430"/>
      <c r="D2" s="430"/>
      <c r="E2" s="430"/>
      <c r="F2" s="430"/>
      <c r="G2" s="430"/>
    </row>
    <row r="4" spans="2:7" s="6" customFormat="1" ht="12.75">
      <c r="B4" s="392" t="s">
        <v>335</v>
      </c>
      <c r="C4" s="392"/>
      <c r="D4" s="392"/>
      <c r="F4" s="378" t="s">
        <v>8</v>
      </c>
      <c r="G4" s="378"/>
    </row>
    <row r="5" s="6" customFormat="1" ht="12.75"/>
    <row r="6" spans="2:7" s="6" customFormat="1" ht="18.75">
      <c r="B6" s="419" t="s">
        <v>334</v>
      </c>
      <c r="C6" s="419"/>
      <c r="D6" s="419"/>
      <c r="E6" s="419"/>
      <c r="F6" s="419"/>
      <c r="G6" s="419"/>
    </row>
    <row r="7" spans="3:4" s="6" customFormat="1" ht="12.75">
      <c r="C7" s="54"/>
      <c r="D7" s="54"/>
    </row>
    <row r="8" spans="2:7" s="6" customFormat="1" ht="12.75">
      <c r="B8" s="48" t="s">
        <v>244</v>
      </c>
      <c r="C8" s="427" t="s">
        <v>299</v>
      </c>
      <c r="D8" s="442"/>
      <c r="E8" s="442"/>
      <c r="F8" s="442"/>
      <c r="G8" s="442"/>
    </row>
    <row r="9" spans="2:7" s="6" customFormat="1" ht="12.75">
      <c r="B9" s="48"/>
      <c r="C9" s="442"/>
      <c r="D9" s="442"/>
      <c r="E9" s="442"/>
      <c r="F9" s="442"/>
      <c r="G9" s="442"/>
    </row>
    <row r="10" spans="2:7" s="6" customFormat="1" ht="12.75">
      <c r="B10" s="48"/>
      <c r="C10"/>
      <c r="D10" s="58"/>
      <c r="E10" s="58"/>
      <c r="F10" s="58"/>
      <c r="G10" s="58"/>
    </row>
    <row r="11" spans="2:7" s="6" customFormat="1" ht="12.75">
      <c r="B11" s="48"/>
      <c r="C11" s="58"/>
      <c r="D11" s="58"/>
      <c r="E11" s="58"/>
      <c r="F11" s="58"/>
      <c r="G11" s="58"/>
    </row>
    <row r="12" spans="2:7" s="6" customFormat="1" ht="12.75">
      <c r="B12" s="48"/>
      <c r="C12"/>
      <c r="D12" s="58"/>
      <c r="E12" s="58"/>
      <c r="F12" s="58"/>
      <c r="G12" s="58"/>
    </row>
    <row r="13" spans="2:7" s="6" customFormat="1" ht="12.75">
      <c r="B13" s="48"/>
      <c r="C13" s="58"/>
      <c r="D13" s="58"/>
      <c r="E13" s="58"/>
      <c r="F13" s="58"/>
      <c r="G13" s="58"/>
    </row>
    <row r="14" spans="2:7" s="6" customFormat="1" ht="15.75">
      <c r="B14" s="111"/>
      <c r="C14" s="110"/>
      <c r="D14" s="111"/>
      <c r="E14" s="48"/>
      <c r="F14" s="48"/>
      <c r="G14" s="48"/>
    </row>
    <row r="15" spans="2:7" s="6" customFormat="1" ht="15.75">
      <c r="B15" s="111"/>
      <c r="C15" s="103" t="s">
        <v>300</v>
      </c>
      <c r="D15" s="110"/>
      <c r="E15" s="48"/>
      <c r="F15" s="48"/>
      <c r="G15" s="48"/>
    </row>
    <row r="16" spans="2:7" s="6" customFormat="1" ht="15.75">
      <c r="B16" s="111"/>
      <c r="C16" s="110"/>
      <c r="D16" s="111"/>
      <c r="E16" s="48"/>
      <c r="F16" s="48"/>
      <c r="G16" s="48"/>
    </row>
    <row r="17" spans="2:7" s="6" customFormat="1" ht="15.75">
      <c r="B17" s="111"/>
      <c r="C17"/>
      <c r="D17" s="111"/>
      <c r="E17" s="48"/>
      <c r="F17" s="48"/>
      <c r="G17" s="48"/>
    </row>
    <row r="18" spans="2:7" s="6" customFormat="1" ht="15.75">
      <c r="B18" s="111"/>
      <c r="C18" s="255" t="s">
        <v>301</v>
      </c>
      <c r="D18" s="111"/>
      <c r="E18" s="48"/>
      <c r="F18" s="48"/>
      <c r="G18" s="48"/>
    </row>
    <row r="19" spans="2:7" s="6" customFormat="1" ht="15.75">
      <c r="B19" s="111"/>
      <c r="C19" s="255"/>
      <c r="D19" s="111"/>
      <c r="E19" s="48"/>
      <c r="F19" s="48"/>
      <c r="G19" s="48"/>
    </row>
    <row r="20" spans="2:7" s="6" customFormat="1" ht="15.75">
      <c r="B20" s="111"/>
      <c r="C20" s="255" t="s">
        <v>302</v>
      </c>
      <c r="D20" s="111"/>
      <c r="E20" s="48"/>
      <c r="F20" s="48"/>
      <c r="G20" s="48"/>
    </row>
    <row r="21" spans="2:7" s="6" customFormat="1" ht="15.75">
      <c r="B21" s="108"/>
      <c r="C21" s="86"/>
      <c r="D21" s="106"/>
      <c r="E21" s="107"/>
      <c r="F21" s="107"/>
      <c r="G21" s="107"/>
    </row>
    <row r="22" spans="2:7" s="6" customFormat="1" ht="15.75">
      <c r="B22" s="108"/>
      <c r="C22" s="86"/>
      <c r="D22" s="106"/>
      <c r="E22" s="107"/>
      <c r="F22" s="107"/>
      <c r="G22" s="107"/>
    </row>
    <row r="23" spans="2:7" s="6" customFormat="1" ht="15.75">
      <c r="B23" s="108"/>
      <c r="C23"/>
      <c r="D23" s="106"/>
      <c r="E23" s="107"/>
      <c r="F23" s="107"/>
      <c r="G23" s="107"/>
    </row>
    <row r="24" spans="2:7" s="6" customFormat="1" ht="15.75">
      <c r="B24" s="108"/>
      <c r="C24" s="86"/>
      <c r="D24" s="106"/>
      <c r="E24" s="107"/>
      <c r="F24" s="107"/>
      <c r="G24" s="107"/>
    </row>
    <row r="25" spans="2:7" s="6" customFormat="1" ht="15.75">
      <c r="B25" s="36" t="s">
        <v>24</v>
      </c>
      <c r="C25" s="35"/>
      <c r="D25" s="35"/>
      <c r="E25" s="424" t="s">
        <v>21</v>
      </c>
      <c r="F25" s="424"/>
      <c r="G25" s="424"/>
    </row>
    <row r="26" s="6" customFormat="1" ht="12.75"/>
    <row r="27" s="6" customFormat="1" ht="12.75"/>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sheetData>
  <mergeCells count="6">
    <mergeCell ref="E25:G25"/>
    <mergeCell ref="B2:G2"/>
    <mergeCell ref="F4:G4"/>
    <mergeCell ref="B6:G6"/>
    <mergeCell ref="C8:G9"/>
    <mergeCell ref="B4:D4"/>
  </mergeCells>
  <hyperlinks>
    <hyperlink ref="F4" location="Índice!B6" display="Volver"/>
    <hyperlink ref="F4:G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portrait" r:id="rId7"/>
  <headerFooter alignWithMargins="0">
    <oddFooter>&amp;R&amp;A</oddFooter>
  </headerFooter>
  <legacyDrawing r:id="rId6"/>
  <oleObjects>
    <oleObject progId="Equation.3" shapeId="4360436" r:id="rId1"/>
    <oleObject progId="Equation.3" shapeId="4360840" r:id="rId2"/>
    <oleObject progId="Equation.3" shapeId="4362325" r:id="rId3"/>
    <oleObject progId="Equation.3" shapeId="4365926" r:id="rId4"/>
    <oleObject progId="Equation.3" shapeId="4366228" r:id="rId5"/>
  </oleObjects>
</worksheet>
</file>

<file path=xl/worksheets/sheet14.xml><?xml version="1.0" encoding="utf-8"?>
<worksheet xmlns="http://schemas.openxmlformats.org/spreadsheetml/2006/main" xmlns:r="http://schemas.openxmlformats.org/officeDocument/2006/relationships">
  <dimension ref="A1:K29"/>
  <sheetViews>
    <sheetView showGridLines="0" view="pageBreakPreview" zoomScale="80" zoomScaleSheetLayoutView="80" workbookViewId="0" topLeftCell="A1">
      <selection activeCell="I4" sqref="I4:J4"/>
    </sheetView>
  </sheetViews>
  <sheetFormatPr defaultColWidth="9.140625" defaultRowHeight="12.75"/>
  <cols>
    <col min="1" max="1" width="9.140625" style="38" customWidth="1"/>
    <col min="2" max="2" width="8.140625" style="38" bestFit="1" customWidth="1"/>
    <col min="3" max="3" width="8.8515625" style="38" bestFit="1" customWidth="1"/>
    <col min="4" max="4" width="10.7109375" style="38" bestFit="1" customWidth="1"/>
    <col min="5" max="5" width="10.7109375" style="38" customWidth="1"/>
    <col min="6" max="6" width="8.140625" style="38" bestFit="1" customWidth="1"/>
    <col min="7" max="7" width="11.57421875" style="38" bestFit="1" customWidth="1"/>
    <col min="8" max="8" width="10.57421875" style="38" customWidth="1"/>
    <col min="9" max="9" width="13.421875" style="38" customWidth="1"/>
    <col min="10" max="10" width="2.7109375" style="38" customWidth="1"/>
    <col min="11" max="11" width="9.140625" style="38" customWidth="1"/>
    <col min="12" max="12" width="7.421875" style="38" customWidth="1"/>
    <col min="13" max="16384" width="9.140625" style="38" customWidth="1"/>
  </cols>
  <sheetData>
    <row r="1" ht="12.75">
      <c r="A1" s="192"/>
    </row>
    <row r="2" spans="3:11" ht="12.75">
      <c r="C2" s="390" t="s">
        <v>22</v>
      </c>
      <c r="D2" s="390"/>
      <c r="E2" s="390"/>
      <c r="F2" s="390"/>
      <c r="G2" s="390"/>
      <c r="H2" s="390"/>
      <c r="I2" s="390"/>
      <c r="J2" s="390"/>
      <c r="K2" s="23"/>
    </row>
    <row r="4" spans="2:10" ht="12.75">
      <c r="B4" s="340"/>
      <c r="C4" s="340"/>
      <c r="D4" s="340"/>
      <c r="I4" s="378" t="s">
        <v>8</v>
      </c>
      <c r="J4" s="378"/>
    </row>
    <row r="6" spans="2:10" ht="18.75">
      <c r="B6" s="419" t="s">
        <v>40</v>
      </c>
      <c r="C6" s="419"/>
      <c r="D6" s="419"/>
      <c r="E6" s="419"/>
      <c r="F6" s="419"/>
      <c r="G6" s="419"/>
      <c r="H6" s="419"/>
      <c r="I6" s="419"/>
      <c r="J6" s="419"/>
    </row>
    <row r="7" spans="3:10" ht="18.75">
      <c r="C7" s="170"/>
      <c r="D7" s="171"/>
      <c r="E7" s="171"/>
      <c r="F7" s="171"/>
      <c r="G7" s="171"/>
      <c r="H7" s="171"/>
      <c r="I7" s="167"/>
      <c r="J7" s="37"/>
    </row>
    <row r="8" spans="3:10" ht="12" customHeight="1">
      <c r="C8" s="446" t="s">
        <v>366</v>
      </c>
      <c r="D8" s="446"/>
      <c r="E8" s="446"/>
      <c r="F8" s="446"/>
      <c r="G8" s="446"/>
      <c r="H8" s="446"/>
      <c r="I8" s="168"/>
      <c r="J8" s="57"/>
    </row>
    <row r="9" spans="3:10" ht="8.25" customHeight="1">
      <c r="C9" s="168"/>
      <c r="D9" s="171"/>
      <c r="E9" s="171"/>
      <c r="F9" s="171"/>
      <c r="G9" s="171"/>
      <c r="H9" s="171"/>
      <c r="I9" s="57"/>
      <c r="J9" s="57"/>
    </row>
    <row r="10" spans="3:10" ht="27.75" customHeight="1">
      <c r="C10" s="443" t="s">
        <v>149</v>
      </c>
      <c r="D10" s="443" t="s">
        <v>259</v>
      </c>
      <c r="E10" s="443"/>
      <c r="F10" s="448"/>
      <c r="G10" s="443" t="s">
        <v>358</v>
      </c>
      <c r="H10" s="443"/>
      <c r="I10" s="172"/>
      <c r="J10" s="37"/>
    </row>
    <row r="11" spans="3:10" ht="18.75" customHeight="1">
      <c r="C11" s="447"/>
      <c r="D11" s="444"/>
      <c r="E11" s="444"/>
      <c r="F11" s="449"/>
      <c r="G11" s="444"/>
      <c r="H11" s="444"/>
      <c r="I11" s="173"/>
      <c r="J11" s="37"/>
    </row>
    <row r="12" spans="3:10" ht="26.25" customHeight="1">
      <c r="C12" s="447"/>
      <c r="D12" s="443" t="s">
        <v>258</v>
      </c>
      <c r="E12" s="443" t="s">
        <v>151</v>
      </c>
      <c r="F12" s="449"/>
      <c r="G12" s="443" t="s">
        <v>325</v>
      </c>
      <c r="H12" s="443" t="s">
        <v>151</v>
      </c>
      <c r="I12" s="172"/>
      <c r="J12" s="37"/>
    </row>
    <row r="13" spans="3:10" ht="12.75" customHeight="1">
      <c r="C13" s="444"/>
      <c r="D13" s="444"/>
      <c r="E13" s="444"/>
      <c r="F13" s="450"/>
      <c r="G13" s="444"/>
      <c r="H13" s="444"/>
      <c r="I13" s="174"/>
      <c r="J13" s="37"/>
    </row>
    <row r="14" spans="3:10" ht="6" customHeight="1">
      <c r="C14" s="231"/>
      <c r="D14" s="231"/>
      <c r="E14" s="231"/>
      <c r="F14" s="231"/>
      <c r="G14" s="231"/>
      <c r="H14" s="231"/>
      <c r="I14" s="174"/>
      <c r="J14" s="37"/>
    </row>
    <row r="15" spans="3:10" ht="12.75" customHeight="1">
      <c r="C15" s="232">
        <v>1905</v>
      </c>
      <c r="D15" s="163">
        <v>4143.6</v>
      </c>
      <c r="E15" s="237" t="s">
        <v>142</v>
      </c>
      <c r="F15" s="232"/>
      <c r="G15" s="232" t="s">
        <v>142</v>
      </c>
      <c r="H15" s="232" t="s">
        <v>142</v>
      </c>
      <c r="I15" s="174"/>
      <c r="J15" s="37"/>
    </row>
    <row r="16" spans="3:10" ht="12.75" customHeight="1">
      <c r="C16" s="222">
        <v>1912</v>
      </c>
      <c r="D16" s="248">
        <v>5072.6</v>
      </c>
      <c r="E16" s="238" t="s">
        <v>142</v>
      </c>
      <c r="F16" s="222"/>
      <c r="G16" s="234">
        <v>21.08</v>
      </c>
      <c r="H16" s="222" t="s">
        <v>142</v>
      </c>
      <c r="I16" s="174"/>
      <c r="J16" s="37"/>
    </row>
    <row r="17" spans="3:10" ht="12.75" customHeight="1">
      <c r="C17" s="232">
        <v>1918</v>
      </c>
      <c r="D17" s="163">
        <v>5855.1</v>
      </c>
      <c r="E17" s="237" t="s">
        <v>142</v>
      </c>
      <c r="F17" s="232"/>
      <c r="G17" s="235">
        <v>21.71</v>
      </c>
      <c r="H17" s="232" t="s">
        <v>142</v>
      </c>
      <c r="I17" s="396"/>
      <c r="J17" s="37"/>
    </row>
    <row r="18" spans="3:10" ht="12.75" customHeight="1">
      <c r="C18" s="222">
        <v>1928</v>
      </c>
      <c r="D18" s="248">
        <v>7851</v>
      </c>
      <c r="E18" s="238" t="s">
        <v>142</v>
      </c>
      <c r="F18" s="222"/>
      <c r="G18" s="234">
        <v>29.49</v>
      </c>
      <c r="H18" s="222" t="s">
        <v>142</v>
      </c>
      <c r="I18" s="396"/>
      <c r="J18" s="37"/>
    </row>
    <row r="19" spans="3:10" ht="12.75" customHeight="1">
      <c r="C19" s="232">
        <v>1938</v>
      </c>
      <c r="D19" s="163">
        <v>8701.8</v>
      </c>
      <c r="E19" s="237" t="s">
        <v>142</v>
      </c>
      <c r="F19" s="232"/>
      <c r="G19" s="235">
        <v>10.68</v>
      </c>
      <c r="H19" s="232" t="s">
        <v>142</v>
      </c>
      <c r="I19" s="396"/>
      <c r="J19" s="175"/>
    </row>
    <row r="20" spans="3:10" ht="12.75" customHeight="1">
      <c r="C20" s="222">
        <v>1951</v>
      </c>
      <c r="D20" s="248">
        <v>11548.2</v>
      </c>
      <c r="E20" s="238">
        <v>12063</v>
      </c>
      <c r="F20" s="222"/>
      <c r="G20" s="234">
        <v>22.28</v>
      </c>
      <c r="H20" s="222" t="s">
        <v>142</v>
      </c>
      <c r="I20" s="396"/>
      <c r="J20" s="55"/>
    </row>
    <row r="21" spans="3:10" ht="12.75" customHeight="1">
      <c r="C21" s="232">
        <v>1964</v>
      </c>
      <c r="D21" s="163">
        <v>17484.5</v>
      </c>
      <c r="E21" s="237">
        <v>17751.5</v>
      </c>
      <c r="F21" s="232"/>
      <c r="G21" s="235">
        <v>31.96</v>
      </c>
      <c r="H21" s="235">
        <v>29.72</v>
      </c>
      <c r="I21" s="396"/>
      <c r="J21" s="47"/>
    </row>
    <row r="22" spans="3:10" ht="12.75" customHeight="1">
      <c r="C22" s="222">
        <v>1973</v>
      </c>
      <c r="D22" s="248">
        <v>20666.9</v>
      </c>
      <c r="E22" s="238">
        <v>22667</v>
      </c>
      <c r="F22" s="222"/>
      <c r="G22" s="234">
        <f>((D22/D21)^(1/9)-1)*1000</f>
        <v>18.753525142840566</v>
      </c>
      <c r="H22" s="234">
        <v>27.16</v>
      </c>
      <c r="I22" s="396"/>
      <c r="J22" s="47"/>
    </row>
    <row r="23" spans="3:10" ht="12.75" customHeight="1">
      <c r="C23" s="232">
        <v>1985</v>
      </c>
      <c r="D23" s="163">
        <v>27853.4</v>
      </c>
      <c r="E23" s="237" t="s">
        <v>142</v>
      </c>
      <c r="F23" s="232"/>
      <c r="G23" s="235">
        <f>((D23/D22)^(1/12)-1)*1000</f>
        <v>25.180270965763363</v>
      </c>
      <c r="H23" s="232" t="s">
        <v>142</v>
      </c>
      <c r="I23" s="396"/>
      <c r="J23" s="47"/>
    </row>
    <row r="24" spans="3:10" ht="12.75" customHeight="1">
      <c r="C24" s="233">
        <v>1993</v>
      </c>
      <c r="D24" s="249">
        <v>33109.8</v>
      </c>
      <c r="E24" s="239" t="s">
        <v>142</v>
      </c>
      <c r="F24" s="233"/>
      <c r="G24" s="234">
        <f>((D24/D23)^(1/8)-1)*1000</f>
        <v>21.844455173813728</v>
      </c>
      <c r="H24" s="233" t="s">
        <v>142</v>
      </c>
      <c r="I24" s="396"/>
      <c r="J24" s="47"/>
    </row>
    <row r="25" spans="3:11" ht="12.75" customHeight="1">
      <c r="C25" s="398">
        <v>2005</v>
      </c>
      <c r="D25" s="484">
        <v>41468.384</v>
      </c>
      <c r="E25" s="485" t="s">
        <v>142</v>
      </c>
      <c r="F25" s="398"/>
      <c r="G25" s="485" t="s">
        <v>142</v>
      </c>
      <c r="H25" s="485" t="s">
        <v>142</v>
      </c>
      <c r="I25" s="174"/>
      <c r="J25" s="47"/>
      <c r="K25" s="397"/>
    </row>
    <row r="26" spans="9:10" ht="3.75" customHeight="1">
      <c r="I26" s="174"/>
      <c r="J26" s="56"/>
    </row>
    <row r="27" spans="3:11" ht="55.5" customHeight="1">
      <c r="C27" s="445" t="s">
        <v>345</v>
      </c>
      <c r="D27" s="445"/>
      <c r="E27" s="445"/>
      <c r="F27" s="445"/>
      <c r="G27" s="445"/>
      <c r="H27" s="445"/>
      <c r="I27" s="178"/>
      <c r="J27" s="178"/>
      <c r="K27" s="178"/>
    </row>
    <row r="28" ht="7.5" customHeight="1"/>
    <row r="29" spans="2:10" ht="15.75">
      <c r="B29" s="36" t="s">
        <v>24</v>
      </c>
      <c r="C29" s="35"/>
      <c r="D29" s="35"/>
      <c r="E29" s="35"/>
      <c r="F29" s="35"/>
      <c r="G29" s="422" t="s">
        <v>21</v>
      </c>
      <c r="H29" s="422"/>
      <c r="I29" s="422"/>
      <c r="J29" s="422"/>
    </row>
  </sheetData>
  <mergeCells count="14">
    <mergeCell ref="D12:D13"/>
    <mergeCell ref="D10:E11"/>
    <mergeCell ref="G10:H11"/>
    <mergeCell ref="F10:F13"/>
    <mergeCell ref="G29:J29"/>
    <mergeCell ref="B6:J6"/>
    <mergeCell ref="C2:J2"/>
    <mergeCell ref="I4:J4"/>
    <mergeCell ref="E12:E13"/>
    <mergeCell ref="H12:H13"/>
    <mergeCell ref="C27:H27"/>
    <mergeCell ref="C8:H8"/>
    <mergeCell ref="C10:C13"/>
    <mergeCell ref="G12:G13"/>
  </mergeCells>
  <hyperlinks>
    <hyperlink ref="I4" location="Índice!B6" display="Volver"/>
    <hyperlink ref="I4:J4" location="Índice!B6" display="Volver al índice"/>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dimension ref="A1:P82"/>
  <sheetViews>
    <sheetView showGridLines="0" view="pageBreakPreview" zoomScale="80" zoomScaleSheetLayoutView="80" workbookViewId="0" topLeftCell="A1">
      <selection activeCell="A1" sqref="A1"/>
    </sheetView>
  </sheetViews>
  <sheetFormatPr defaultColWidth="9.140625" defaultRowHeight="12.75"/>
  <cols>
    <col min="2" max="2" width="7.421875" style="0" customWidth="1"/>
    <col min="3" max="3" width="13.00390625" style="0" customWidth="1"/>
    <col min="4" max="4" width="29.7109375" style="0" customWidth="1"/>
    <col min="5" max="5" width="11.421875" style="0" customWidth="1"/>
    <col min="6" max="6" width="13.140625" style="0" customWidth="1"/>
    <col min="7" max="7" width="12.28125" style="0" customWidth="1"/>
    <col min="8" max="8" width="11.57421875" style="0" customWidth="1"/>
    <col min="9" max="9" width="18.140625" style="0" customWidth="1"/>
    <col min="10" max="10" width="6.28125" style="0" customWidth="1"/>
    <col min="12" max="12" width="7.421875" style="0" customWidth="1"/>
  </cols>
  <sheetData>
    <row r="1" spans="1:12" ht="12.75">
      <c r="A1" s="192"/>
      <c r="B1" s="9"/>
      <c r="C1" s="9"/>
      <c r="D1" s="9"/>
      <c r="E1" s="9"/>
      <c r="F1" s="9"/>
      <c r="G1" s="9"/>
      <c r="H1" s="9"/>
      <c r="I1" s="9"/>
      <c r="J1" s="9"/>
      <c r="K1" s="9"/>
      <c r="L1" s="9"/>
    </row>
    <row r="2" spans="1:12" ht="12.75">
      <c r="A2" s="9"/>
      <c r="B2" s="9"/>
      <c r="C2" s="377" t="s">
        <v>22</v>
      </c>
      <c r="D2" s="377"/>
      <c r="E2" s="377"/>
      <c r="F2" s="377"/>
      <c r="G2" s="377"/>
      <c r="H2" s="377"/>
      <c r="I2" s="377"/>
      <c r="J2" s="377"/>
      <c r="K2" s="9"/>
      <c r="L2" s="9"/>
    </row>
    <row r="3" spans="1:12" ht="12.75">
      <c r="A3" s="9"/>
      <c r="B3" s="9"/>
      <c r="C3" s="9"/>
      <c r="D3" s="9"/>
      <c r="E3" s="9"/>
      <c r="F3" s="9"/>
      <c r="G3" s="9"/>
      <c r="H3" s="9"/>
      <c r="I3" s="9"/>
      <c r="J3" s="9"/>
      <c r="K3" s="9"/>
      <c r="L3" s="9"/>
    </row>
    <row r="4" spans="1:12" ht="12.75">
      <c r="A4" s="9"/>
      <c r="B4" s="9"/>
      <c r="C4" s="9"/>
      <c r="D4" s="9"/>
      <c r="E4" s="9"/>
      <c r="F4" s="9"/>
      <c r="G4" s="9"/>
      <c r="H4" s="9"/>
      <c r="I4" s="453" t="s">
        <v>8</v>
      </c>
      <c r="J4" s="453"/>
      <c r="K4" s="9"/>
      <c r="L4" s="9"/>
    </row>
    <row r="5" spans="1:12" ht="12.75">
      <c r="A5" s="9"/>
      <c r="B5" s="9"/>
      <c r="C5" s="9"/>
      <c r="D5" s="9"/>
      <c r="E5" s="9"/>
      <c r="F5" s="9"/>
      <c r="G5" s="9"/>
      <c r="H5" s="9"/>
      <c r="I5" s="9"/>
      <c r="J5" s="9"/>
      <c r="K5" s="9"/>
      <c r="L5" s="9"/>
    </row>
    <row r="6" spans="1:12" ht="18.75">
      <c r="A6" s="9"/>
      <c r="B6" s="419" t="s">
        <v>246</v>
      </c>
      <c r="C6" s="419"/>
      <c r="D6" s="419"/>
      <c r="E6" s="419"/>
      <c r="F6" s="419"/>
      <c r="G6" s="419"/>
      <c r="H6" s="419"/>
      <c r="I6" s="419"/>
      <c r="J6" s="419"/>
      <c r="K6" s="9"/>
      <c r="L6" s="9"/>
    </row>
    <row r="7" spans="1:12" ht="12.75">
      <c r="A7" s="9"/>
      <c r="C7" s="151"/>
      <c r="D7" s="150"/>
      <c r="E7" s="150"/>
      <c r="F7" s="150"/>
      <c r="G7" s="150"/>
      <c r="H7" s="150"/>
      <c r="I7" s="150"/>
      <c r="J7" s="9"/>
      <c r="K7" s="9"/>
      <c r="L7" s="9"/>
    </row>
    <row r="8" spans="1:12" ht="40.5" customHeight="1">
      <c r="A8" s="9"/>
      <c r="C8" s="452" t="s">
        <v>377</v>
      </c>
      <c r="D8" s="452"/>
      <c r="E8" s="452"/>
      <c r="F8" s="452"/>
      <c r="G8" s="452"/>
      <c r="H8" s="452"/>
      <c r="I8" s="452"/>
      <c r="J8" s="9"/>
      <c r="K8" s="9"/>
      <c r="L8" s="9"/>
    </row>
    <row r="9" spans="1:12" ht="42" customHeight="1">
      <c r="A9" s="9"/>
      <c r="C9" s="185" t="s">
        <v>152</v>
      </c>
      <c r="D9" s="185" t="s">
        <v>153</v>
      </c>
      <c r="E9" s="185" t="s">
        <v>326</v>
      </c>
      <c r="F9" s="185" t="s">
        <v>327</v>
      </c>
      <c r="G9" s="185" t="s">
        <v>328</v>
      </c>
      <c r="H9" s="185" t="s">
        <v>330</v>
      </c>
      <c r="I9" s="185" t="s">
        <v>329</v>
      </c>
      <c r="J9" s="9"/>
      <c r="K9" s="9"/>
      <c r="L9" s="9"/>
    </row>
    <row r="10" spans="1:12" ht="12.75">
      <c r="A10" s="9"/>
      <c r="C10" s="186"/>
      <c r="D10" s="186"/>
      <c r="E10" s="187"/>
      <c r="F10" s="187"/>
      <c r="G10" s="187"/>
      <c r="H10" s="187"/>
      <c r="I10" s="187"/>
      <c r="J10" s="9"/>
      <c r="K10" s="9"/>
      <c r="L10" s="9"/>
    </row>
    <row r="11" spans="1:12" ht="15.75">
      <c r="A11" s="9"/>
      <c r="C11" s="227">
        <v>1910</v>
      </c>
      <c r="D11" s="225" t="s">
        <v>271</v>
      </c>
      <c r="E11" s="240"/>
      <c r="F11" s="240"/>
      <c r="G11" s="240"/>
      <c r="H11" s="240"/>
      <c r="I11" s="241">
        <v>30.5</v>
      </c>
      <c r="J11" s="9"/>
      <c r="K11" s="9"/>
      <c r="L11" s="9"/>
    </row>
    <row r="12" spans="1:12" ht="15.75">
      <c r="A12" s="9"/>
      <c r="C12" s="191">
        <v>1920</v>
      </c>
      <c r="D12" s="226" t="s">
        <v>271</v>
      </c>
      <c r="E12" s="242"/>
      <c r="F12" s="242"/>
      <c r="G12" s="242"/>
      <c r="H12" s="242"/>
      <c r="I12" s="243">
        <v>32</v>
      </c>
      <c r="J12" s="9"/>
      <c r="K12" s="9"/>
      <c r="L12" s="9"/>
    </row>
    <row r="13" spans="1:12" ht="15.75">
      <c r="A13" s="9"/>
      <c r="C13" s="227">
        <v>1930</v>
      </c>
      <c r="D13" s="225" t="s">
        <v>271</v>
      </c>
      <c r="E13" s="240"/>
      <c r="F13" s="240"/>
      <c r="G13" s="240"/>
      <c r="H13" s="240"/>
      <c r="I13" s="241">
        <v>34.2</v>
      </c>
      <c r="J13" s="9"/>
      <c r="K13" s="9"/>
      <c r="L13" s="9"/>
    </row>
    <row r="14" spans="1:12" ht="15.75">
      <c r="A14" s="9"/>
      <c r="C14" s="191">
        <v>1938</v>
      </c>
      <c r="D14" s="226" t="s">
        <v>272</v>
      </c>
      <c r="E14" s="242"/>
      <c r="F14" s="242"/>
      <c r="G14" s="242"/>
      <c r="H14" s="242"/>
      <c r="I14" s="243">
        <v>36.6</v>
      </c>
      <c r="J14" s="9"/>
      <c r="K14" s="9"/>
      <c r="L14" s="9"/>
    </row>
    <row r="15" spans="1:12" ht="15.75">
      <c r="A15" s="9"/>
      <c r="C15" s="227" t="s">
        <v>154</v>
      </c>
      <c r="D15" s="225" t="s">
        <v>273</v>
      </c>
      <c r="E15" s="241">
        <v>46.5</v>
      </c>
      <c r="F15" s="241">
        <v>22.4</v>
      </c>
      <c r="G15" s="240"/>
      <c r="H15" s="240"/>
      <c r="I15" s="241">
        <v>44</v>
      </c>
      <c r="J15" s="9"/>
      <c r="K15" s="9"/>
      <c r="L15" s="9"/>
    </row>
    <row r="16" spans="1:12" ht="15.75">
      <c r="A16" s="9"/>
      <c r="C16" s="228"/>
      <c r="D16" s="226" t="s">
        <v>274</v>
      </c>
      <c r="E16" s="243">
        <v>47.3</v>
      </c>
      <c r="F16" s="243">
        <v>25</v>
      </c>
      <c r="G16" s="242"/>
      <c r="H16" s="242"/>
      <c r="I16" s="242"/>
      <c r="J16" s="9"/>
      <c r="K16" s="9"/>
      <c r="L16" s="9"/>
    </row>
    <row r="17" spans="1:12" ht="15.75">
      <c r="A17" s="9"/>
      <c r="C17" s="227">
        <v>1951</v>
      </c>
      <c r="D17" s="225" t="s">
        <v>272</v>
      </c>
      <c r="E17" s="240"/>
      <c r="F17" s="240"/>
      <c r="G17" s="240"/>
      <c r="H17" s="240"/>
      <c r="I17" s="241">
        <v>48.7</v>
      </c>
      <c r="J17" s="9"/>
      <c r="K17" s="9"/>
      <c r="L17" s="9"/>
    </row>
    <row r="18" spans="1:12" ht="15.75">
      <c r="A18" s="9"/>
      <c r="C18" s="191" t="s">
        <v>155</v>
      </c>
      <c r="D18" s="226" t="s">
        <v>273</v>
      </c>
      <c r="E18" s="243">
        <v>47.2</v>
      </c>
      <c r="F18" s="243">
        <v>17.4</v>
      </c>
      <c r="G18" s="242"/>
      <c r="H18" s="242"/>
      <c r="I18" s="243">
        <v>49.5</v>
      </c>
      <c r="J18" s="9"/>
      <c r="K18" s="9"/>
      <c r="L18" s="9"/>
    </row>
    <row r="19" spans="1:12" ht="15.75">
      <c r="A19" s="9"/>
      <c r="C19" s="229"/>
      <c r="D19" s="225" t="s">
        <v>275</v>
      </c>
      <c r="E19" s="241">
        <v>45.4</v>
      </c>
      <c r="F19" s="241">
        <v>12.4</v>
      </c>
      <c r="G19" s="240"/>
      <c r="H19" s="240"/>
      <c r="I19" s="240"/>
      <c r="J19" s="9"/>
      <c r="K19" s="9"/>
      <c r="L19" s="9"/>
    </row>
    <row r="20" spans="1:12" ht="15.75">
      <c r="A20" s="9"/>
      <c r="C20" s="228"/>
      <c r="D20" s="226" t="s">
        <v>276</v>
      </c>
      <c r="E20" s="243">
        <v>46</v>
      </c>
      <c r="F20" s="242"/>
      <c r="G20" s="242"/>
      <c r="H20" s="242"/>
      <c r="I20" s="242"/>
      <c r="J20" s="9"/>
      <c r="K20" s="9"/>
      <c r="L20" s="9"/>
    </row>
    <row r="21" spans="1:12" ht="15.75">
      <c r="A21" s="9"/>
      <c r="C21" s="227" t="s">
        <v>156</v>
      </c>
      <c r="D21" s="225" t="s">
        <v>277</v>
      </c>
      <c r="E21" s="240"/>
      <c r="F21" s="240"/>
      <c r="G21" s="241">
        <v>7</v>
      </c>
      <c r="H21" s="241">
        <v>217</v>
      </c>
      <c r="I21" s="240"/>
      <c r="J21" s="9"/>
      <c r="K21" s="9"/>
      <c r="L21" s="9"/>
    </row>
    <row r="22" spans="1:12" ht="15.75">
      <c r="A22" s="9"/>
      <c r="C22" s="191">
        <v>1964</v>
      </c>
      <c r="D22" s="226" t="s">
        <v>278</v>
      </c>
      <c r="E22" s="242"/>
      <c r="F22" s="242"/>
      <c r="G22" s="242"/>
      <c r="H22" s="242"/>
      <c r="I22" s="243">
        <v>55.3</v>
      </c>
      <c r="J22" s="9"/>
      <c r="K22" s="9"/>
      <c r="L22" s="9"/>
    </row>
    <row r="23" spans="1:12" ht="15.75">
      <c r="A23" s="9"/>
      <c r="C23" s="227" t="s">
        <v>157</v>
      </c>
      <c r="D23" s="225" t="s">
        <v>279</v>
      </c>
      <c r="E23" s="240"/>
      <c r="F23" s="240"/>
      <c r="G23" s="240"/>
      <c r="H23" s="240"/>
      <c r="I23" s="241">
        <v>59.2</v>
      </c>
      <c r="J23" s="9"/>
      <c r="K23" s="9"/>
      <c r="L23" s="9"/>
    </row>
    <row r="24" spans="1:12" ht="15.75">
      <c r="A24" s="9"/>
      <c r="C24" s="191" t="s">
        <v>158</v>
      </c>
      <c r="D24" s="226" t="s">
        <v>279</v>
      </c>
      <c r="E24" s="242"/>
      <c r="F24" s="243">
        <v>6.3</v>
      </c>
      <c r="G24" s="242"/>
      <c r="H24" s="242"/>
      <c r="I24" s="242"/>
      <c r="K24" s="9"/>
      <c r="L24" s="9"/>
    </row>
    <row r="25" spans="3:9" ht="15.75">
      <c r="C25" s="227" t="s">
        <v>159</v>
      </c>
      <c r="D25" s="225" t="s">
        <v>277</v>
      </c>
      <c r="E25" s="241">
        <v>44.5</v>
      </c>
      <c r="F25" s="240"/>
      <c r="G25" s="241">
        <v>6.5</v>
      </c>
      <c r="H25" s="241">
        <v>201</v>
      </c>
      <c r="I25" s="240"/>
    </row>
    <row r="26" spans="3:9" ht="15.75">
      <c r="C26" s="191" t="s">
        <v>160</v>
      </c>
      <c r="D26" s="226" t="s">
        <v>277</v>
      </c>
      <c r="E26" s="243">
        <v>41.3</v>
      </c>
      <c r="F26" s="242"/>
      <c r="G26" s="243">
        <v>6</v>
      </c>
      <c r="H26" s="243">
        <v>187</v>
      </c>
      <c r="I26" s="242"/>
    </row>
    <row r="27" spans="3:9" ht="15.75">
      <c r="C27" s="227" t="s">
        <v>161</v>
      </c>
      <c r="D27" s="225" t="s">
        <v>280</v>
      </c>
      <c r="E27" s="240"/>
      <c r="F27" s="240"/>
      <c r="G27" s="241">
        <v>5</v>
      </c>
      <c r="H27" s="240"/>
      <c r="I27" s="240"/>
    </row>
    <row r="28" spans="3:9" ht="15.75">
      <c r="C28" s="191" t="s">
        <v>162</v>
      </c>
      <c r="D28" s="226" t="s">
        <v>279</v>
      </c>
      <c r="E28" s="242"/>
      <c r="F28" s="242"/>
      <c r="G28" s="242"/>
      <c r="H28" s="242"/>
      <c r="I28" s="243">
        <v>60.8</v>
      </c>
    </row>
    <row r="29" spans="3:9" ht="15.75">
      <c r="C29" s="227">
        <v>1970</v>
      </c>
      <c r="D29" s="225" t="s">
        <v>281</v>
      </c>
      <c r="E29" s="240"/>
      <c r="F29" s="241">
        <v>10.1</v>
      </c>
      <c r="G29" s="240"/>
      <c r="H29" s="240"/>
      <c r="I29" s="240"/>
    </row>
    <row r="30" spans="3:9" ht="15.75">
      <c r="C30" s="191">
        <v>1971</v>
      </c>
      <c r="D30" s="226" t="s">
        <v>281</v>
      </c>
      <c r="E30" s="242"/>
      <c r="F30" s="243">
        <v>9.6</v>
      </c>
      <c r="G30" s="242"/>
      <c r="H30" s="242"/>
      <c r="I30" s="242"/>
    </row>
    <row r="31" spans="3:9" ht="15.75">
      <c r="C31" s="227">
        <v>1972</v>
      </c>
      <c r="D31" s="225" t="s">
        <v>281</v>
      </c>
      <c r="E31" s="240"/>
      <c r="F31" s="241">
        <v>9.2</v>
      </c>
      <c r="G31" s="240"/>
      <c r="H31" s="240"/>
      <c r="I31" s="240"/>
    </row>
    <row r="32" spans="3:9" ht="15.75">
      <c r="C32" s="191" t="s">
        <v>163</v>
      </c>
      <c r="D32" s="226" t="s">
        <v>280</v>
      </c>
      <c r="E32" s="243">
        <v>33.1</v>
      </c>
      <c r="F32" s="242"/>
      <c r="G32" s="243">
        <v>4.4</v>
      </c>
      <c r="H32" s="243">
        <v>137</v>
      </c>
      <c r="I32" s="242"/>
    </row>
    <row r="33" spans="3:9" ht="15.75">
      <c r="C33" s="227">
        <v>1973</v>
      </c>
      <c r="D33" s="225" t="s">
        <v>278</v>
      </c>
      <c r="E33" s="240"/>
      <c r="F33" s="240"/>
      <c r="G33" s="240"/>
      <c r="H33" s="240"/>
      <c r="I33" s="241">
        <v>59</v>
      </c>
    </row>
    <row r="34" spans="3:9" ht="15.75">
      <c r="C34" s="228"/>
      <c r="D34" s="226" t="s">
        <v>281</v>
      </c>
      <c r="E34" s="242"/>
      <c r="F34" s="243">
        <v>8.8</v>
      </c>
      <c r="G34" s="242"/>
      <c r="H34" s="242"/>
      <c r="I34" s="242"/>
    </row>
    <row r="35" spans="3:9" ht="15.75">
      <c r="C35" s="227">
        <v>1974</v>
      </c>
      <c r="D35" s="225" t="s">
        <v>281</v>
      </c>
      <c r="E35" s="240"/>
      <c r="F35" s="241">
        <v>8.4</v>
      </c>
      <c r="G35" s="240"/>
      <c r="H35" s="240"/>
      <c r="I35" s="240"/>
    </row>
    <row r="36" spans="3:9" ht="15.75">
      <c r="C36" s="191">
        <v>1975</v>
      </c>
      <c r="D36" s="226" t="s">
        <v>281</v>
      </c>
      <c r="E36" s="242"/>
      <c r="F36" s="243">
        <v>8.1</v>
      </c>
      <c r="G36" s="242"/>
      <c r="H36" s="242"/>
      <c r="I36" s="242"/>
    </row>
    <row r="37" spans="3:9" ht="15.75">
      <c r="C37" s="227" t="s">
        <v>164</v>
      </c>
      <c r="D37" s="225" t="s">
        <v>282</v>
      </c>
      <c r="E37" s="241">
        <v>31.1</v>
      </c>
      <c r="F37" s="240"/>
      <c r="G37" s="241">
        <v>4.2</v>
      </c>
      <c r="H37" s="241">
        <v>131</v>
      </c>
      <c r="I37" s="240"/>
    </row>
    <row r="38" spans="3:9" ht="15.75">
      <c r="C38" s="191">
        <v>1976</v>
      </c>
      <c r="D38" s="226" t="s">
        <v>281</v>
      </c>
      <c r="E38" s="242"/>
      <c r="F38" s="243">
        <v>7.7</v>
      </c>
      <c r="G38" s="242"/>
      <c r="H38" s="242"/>
      <c r="I38" s="242"/>
    </row>
    <row r="39" spans="3:9" ht="15.75">
      <c r="C39" s="227">
        <v>1977</v>
      </c>
      <c r="D39" s="225" t="s">
        <v>281</v>
      </c>
      <c r="E39" s="240"/>
      <c r="F39" s="241">
        <v>7.3</v>
      </c>
      <c r="G39" s="240"/>
      <c r="H39" s="240"/>
      <c r="I39" s="240"/>
    </row>
    <row r="40" spans="3:9" ht="15.75">
      <c r="C40" s="191">
        <v>1978</v>
      </c>
      <c r="D40" s="226" t="s">
        <v>281</v>
      </c>
      <c r="E40" s="242"/>
      <c r="F40" s="243">
        <v>7</v>
      </c>
      <c r="G40" s="242"/>
      <c r="H40" s="242"/>
      <c r="I40" s="242"/>
    </row>
    <row r="41" spans="3:9" ht="15.75">
      <c r="C41" s="229"/>
      <c r="D41" s="225" t="s">
        <v>283</v>
      </c>
      <c r="E41" s="240"/>
      <c r="F41" s="240"/>
      <c r="G41" s="240"/>
      <c r="H41" s="240"/>
      <c r="I41" s="241">
        <v>61</v>
      </c>
    </row>
    <row r="42" spans="3:9" ht="15.75">
      <c r="C42" s="228"/>
      <c r="D42" s="226" t="s">
        <v>284</v>
      </c>
      <c r="E42" s="243">
        <v>29.1</v>
      </c>
      <c r="F42" s="242"/>
      <c r="G42" s="243">
        <v>3.9</v>
      </c>
      <c r="H42" s="243">
        <v>117</v>
      </c>
      <c r="I42" s="242"/>
    </row>
    <row r="43" spans="3:9" ht="15.75">
      <c r="C43" s="227">
        <v>1979</v>
      </c>
      <c r="D43" s="225" t="s">
        <v>281</v>
      </c>
      <c r="E43" s="240"/>
      <c r="F43" s="241">
        <v>6.7</v>
      </c>
      <c r="G43" s="240"/>
      <c r="H43" s="240"/>
      <c r="I43" s="240"/>
    </row>
    <row r="44" spans="3:9" ht="15.75">
      <c r="C44" s="228"/>
      <c r="D44" s="226" t="s">
        <v>283</v>
      </c>
      <c r="E44" s="242"/>
      <c r="F44" s="242"/>
      <c r="G44" s="242"/>
      <c r="H44" s="242"/>
      <c r="I44" s="243">
        <v>64.2</v>
      </c>
    </row>
    <row r="45" spans="3:9" ht="15.75">
      <c r="C45" s="227">
        <v>1980</v>
      </c>
      <c r="D45" s="225" t="s">
        <v>281</v>
      </c>
      <c r="E45" s="240"/>
      <c r="F45" s="241">
        <v>6.4</v>
      </c>
      <c r="G45" s="240"/>
      <c r="H45" s="240"/>
      <c r="I45" s="240"/>
    </row>
    <row r="46" spans="3:9" ht="15.75">
      <c r="C46" s="228"/>
      <c r="D46" s="226" t="s">
        <v>285</v>
      </c>
      <c r="E46" s="243">
        <v>28.9</v>
      </c>
      <c r="F46" s="242"/>
      <c r="G46" s="243">
        <v>3.7</v>
      </c>
      <c r="H46" s="243">
        <v>114</v>
      </c>
      <c r="I46" s="242"/>
    </row>
    <row r="47" spans="3:9" ht="15.75">
      <c r="C47" s="227">
        <v>1985</v>
      </c>
      <c r="D47" s="225" t="s">
        <v>286</v>
      </c>
      <c r="E47" s="241">
        <v>24.3</v>
      </c>
      <c r="F47" s="241">
        <v>6</v>
      </c>
      <c r="G47" s="241">
        <v>2.9</v>
      </c>
      <c r="H47" s="241">
        <v>94</v>
      </c>
      <c r="I47" s="241">
        <v>67.2</v>
      </c>
    </row>
    <row r="48" spans="3:9" ht="15.75">
      <c r="C48" s="191">
        <v>1993</v>
      </c>
      <c r="D48" s="226" t="s">
        <v>287</v>
      </c>
      <c r="E48" s="243">
        <v>25.9</v>
      </c>
      <c r="F48" s="243"/>
      <c r="G48" s="243">
        <v>3.1</v>
      </c>
      <c r="H48" s="243"/>
      <c r="I48" s="243"/>
    </row>
    <row r="49" spans="3:9" ht="15.75">
      <c r="C49" s="492" t="s">
        <v>367</v>
      </c>
      <c r="D49" s="493" t="s">
        <v>371</v>
      </c>
      <c r="E49" s="494">
        <v>21.59</v>
      </c>
      <c r="F49" s="494">
        <v>5.95</v>
      </c>
      <c r="G49" s="494"/>
      <c r="H49" s="494">
        <v>81.4</v>
      </c>
      <c r="I49" s="494">
        <v>72.56</v>
      </c>
    </row>
    <row r="50" spans="3:9" ht="15.75">
      <c r="C50" s="486" t="s">
        <v>368</v>
      </c>
      <c r="D50" s="487" t="s">
        <v>371</v>
      </c>
      <c r="E50" s="488">
        <v>19.86</v>
      </c>
      <c r="F50" s="488">
        <v>5.81</v>
      </c>
      <c r="G50" s="488"/>
      <c r="H50" s="488">
        <v>74.6</v>
      </c>
      <c r="I50" s="488">
        <v>74</v>
      </c>
    </row>
    <row r="51" spans="3:9" ht="15.75">
      <c r="C51" s="492" t="s">
        <v>369</v>
      </c>
      <c r="D51" s="493" t="s">
        <v>371</v>
      </c>
      <c r="E51" s="494">
        <v>18.88</v>
      </c>
      <c r="F51" s="494">
        <v>5.8</v>
      </c>
      <c r="G51" s="494"/>
      <c r="H51" s="494">
        <v>71.5</v>
      </c>
      <c r="I51" s="494">
        <v>75.22</v>
      </c>
    </row>
    <row r="52" spans="3:9" ht="15.75">
      <c r="C52" s="489" t="s">
        <v>370</v>
      </c>
      <c r="D52" s="490" t="s">
        <v>371</v>
      </c>
      <c r="E52" s="491">
        <v>18.03</v>
      </c>
      <c r="F52" s="491">
        <v>5.95</v>
      </c>
      <c r="G52" s="491"/>
      <c r="H52" s="491">
        <v>69.6</v>
      </c>
      <c r="I52" s="491">
        <v>76.15</v>
      </c>
    </row>
    <row r="53" spans="3:9" ht="4.5" customHeight="1">
      <c r="C53" s="150"/>
      <c r="D53" s="150"/>
      <c r="E53" s="150"/>
      <c r="F53" s="150"/>
      <c r="G53" s="150"/>
      <c r="H53" s="150"/>
      <c r="I53" s="150"/>
    </row>
    <row r="54" spans="3:9" ht="12.75">
      <c r="C54" s="254"/>
      <c r="D54" s="254"/>
      <c r="E54" s="254"/>
      <c r="F54" s="254"/>
      <c r="G54" s="254"/>
      <c r="H54" s="254"/>
      <c r="I54" s="254"/>
    </row>
    <row r="55" spans="3:16" ht="12.75">
      <c r="C55" s="451" t="s">
        <v>3</v>
      </c>
      <c r="D55" s="451"/>
      <c r="E55" s="451"/>
      <c r="F55" s="451"/>
      <c r="G55" s="451"/>
      <c r="H55" s="451"/>
      <c r="I55" s="451"/>
      <c r="J55" s="169"/>
      <c r="K55" s="169"/>
      <c r="L55" s="169"/>
      <c r="M55" s="169"/>
      <c r="N55" s="169"/>
      <c r="O55" s="169"/>
      <c r="P55" s="169"/>
    </row>
    <row r="56" spans="3:16" ht="12.75">
      <c r="C56" s="451"/>
      <c r="D56" s="451"/>
      <c r="E56" s="451"/>
      <c r="F56" s="451"/>
      <c r="G56" s="451"/>
      <c r="H56" s="451"/>
      <c r="I56" s="451"/>
      <c r="J56" s="169"/>
      <c r="K56" s="169"/>
      <c r="L56" s="169"/>
      <c r="M56" s="169"/>
      <c r="N56" s="169"/>
      <c r="O56" s="169"/>
      <c r="P56" s="150"/>
    </row>
    <row r="57" spans="3:16" ht="12.75">
      <c r="C57" s="451" t="s">
        <v>4</v>
      </c>
      <c r="D57" s="451"/>
      <c r="E57" s="451"/>
      <c r="F57" s="451"/>
      <c r="G57" s="451"/>
      <c r="H57" s="451"/>
      <c r="I57" s="451"/>
      <c r="J57" s="230"/>
      <c r="K57" s="230"/>
      <c r="L57" s="230"/>
      <c r="M57" s="230"/>
      <c r="N57" s="230"/>
      <c r="O57" s="230"/>
      <c r="P57" s="230"/>
    </row>
    <row r="58" spans="3:16" ht="12.75">
      <c r="C58" s="451" t="s">
        <v>5</v>
      </c>
      <c r="D58" s="451"/>
      <c r="E58" s="451"/>
      <c r="F58" s="451"/>
      <c r="G58" s="451"/>
      <c r="H58" s="451"/>
      <c r="I58" s="451"/>
      <c r="J58" s="230"/>
      <c r="K58" s="230"/>
      <c r="L58" s="230"/>
      <c r="M58" s="230"/>
      <c r="N58" s="230"/>
      <c r="O58" s="230"/>
      <c r="P58" s="230"/>
    </row>
    <row r="59" spans="3:16" ht="12.75">
      <c r="C59" s="451" t="s">
        <v>288</v>
      </c>
      <c r="D59" s="451"/>
      <c r="E59" s="451"/>
      <c r="F59" s="451"/>
      <c r="G59" s="451"/>
      <c r="H59" s="451"/>
      <c r="I59" s="451"/>
      <c r="J59" s="230"/>
      <c r="K59" s="230"/>
      <c r="L59" s="230"/>
      <c r="M59" s="230"/>
      <c r="N59" s="230"/>
      <c r="O59" s="230"/>
      <c r="P59" s="230"/>
    </row>
    <row r="60" spans="3:16" ht="12.75">
      <c r="C60" s="451" t="s">
        <v>289</v>
      </c>
      <c r="D60" s="451"/>
      <c r="E60" s="451"/>
      <c r="F60" s="451"/>
      <c r="G60" s="451"/>
      <c r="H60" s="451"/>
      <c r="I60" s="451"/>
      <c r="J60" s="230"/>
      <c r="K60" s="230"/>
      <c r="L60" s="230"/>
      <c r="M60" s="230"/>
      <c r="N60" s="230"/>
      <c r="O60" s="230"/>
      <c r="P60" s="230"/>
    </row>
    <row r="61" spans="3:16" ht="12.75">
      <c r="C61" s="451" t="s">
        <v>290</v>
      </c>
      <c r="D61" s="451"/>
      <c r="E61" s="451"/>
      <c r="F61" s="451"/>
      <c r="G61" s="451"/>
      <c r="H61" s="451"/>
      <c r="I61" s="451"/>
      <c r="J61" s="169"/>
      <c r="K61" s="169"/>
      <c r="L61" s="169"/>
      <c r="M61" s="169"/>
      <c r="N61" s="169"/>
      <c r="O61" s="169"/>
      <c r="P61" s="150"/>
    </row>
    <row r="62" spans="3:16" ht="12.75">
      <c r="C62" s="451" t="s">
        <v>291</v>
      </c>
      <c r="D62" s="451"/>
      <c r="E62" s="451"/>
      <c r="F62" s="451"/>
      <c r="G62" s="451"/>
      <c r="H62" s="451"/>
      <c r="I62" s="451"/>
      <c r="J62" s="169"/>
      <c r="K62" s="169"/>
      <c r="L62" s="169"/>
      <c r="M62" s="169"/>
      <c r="N62" s="169"/>
      <c r="O62" s="169"/>
      <c r="P62" s="150"/>
    </row>
    <row r="63" spans="3:16" ht="12.75">
      <c r="C63" s="451" t="s">
        <v>292</v>
      </c>
      <c r="D63" s="451"/>
      <c r="E63" s="451"/>
      <c r="F63" s="451"/>
      <c r="G63" s="451"/>
      <c r="H63" s="451"/>
      <c r="I63" s="451"/>
      <c r="J63" s="169"/>
      <c r="K63" s="169"/>
      <c r="L63" s="169"/>
      <c r="M63" s="150"/>
      <c r="N63" s="150"/>
      <c r="O63" s="150"/>
      <c r="P63" s="150"/>
    </row>
    <row r="64" spans="3:16" ht="12.75">
      <c r="C64" s="451" t="s">
        <v>293</v>
      </c>
      <c r="D64" s="451"/>
      <c r="E64" s="451"/>
      <c r="F64" s="451"/>
      <c r="G64" s="451"/>
      <c r="H64" s="451"/>
      <c r="I64" s="451"/>
      <c r="J64" s="169"/>
      <c r="K64" s="169"/>
      <c r="L64" s="169"/>
      <c r="M64" s="169"/>
      <c r="N64" s="169"/>
      <c r="O64" s="169"/>
      <c r="P64" s="169"/>
    </row>
    <row r="65" spans="3:16" ht="0" customHeight="1" hidden="1">
      <c r="C65" s="451"/>
      <c r="D65" s="451"/>
      <c r="E65" s="451"/>
      <c r="F65" s="451"/>
      <c r="G65" s="451"/>
      <c r="H65" s="451"/>
      <c r="I65" s="451"/>
      <c r="J65" s="169"/>
      <c r="K65" s="169"/>
      <c r="L65" s="169"/>
      <c r="M65" s="169"/>
      <c r="N65" s="169"/>
      <c r="O65" s="169"/>
      <c r="P65" s="169"/>
    </row>
    <row r="66" spans="3:16" ht="12.75">
      <c r="C66" s="451" t="s">
        <v>294</v>
      </c>
      <c r="D66" s="451"/>
      <c r="E66" s="451"/>
      <c r="F66" s="451"/>
      <c r="G66" s="451"/>
      <c r="H66" s="451"/>
      <c r="I66" s="451"/>
      <c r="J66" s="169"/>
      <c r="K66" s="169"/>
      <c r="L66" s="169"/>
      <c r="M66" s="169"/>
      <c r="N66" s="169"/>
      <c r="O66" s="169"/>
      <c r="P66" s="169"/>
    </row>
    <row r="67" spans="3:16" ht="12.75">
      <c r="C67" s="451" t="s">
        <v>295</v>
      </c>
      <c r="D67" s="451"/>
      <c r="E67" s="451"/>
      <c r="F67" s="451"/>
      <c r="G67" s="451"/>
      <c r="H67" s="451"/>
      <c r="I67" s="451"/>
      <c r="J67" s="169"/>
      <c r="K67" s="169"/>
      <c r="L67" s="169"/>
      <c r="M67" s="169"/>
      <c r="N67" s="169"/>
      <c r="O67" s="169"/>
      <c r="P67" s="169"/>
    </row>
    <row r="68" spans="3:16" ht="12.75">
      <c r="C68" s="451"/>
      <c r="D68" s="451"/>
      <c r="E68" s="451"/>
      <c r="F68" s="451"/>
      <c r="G68" s="451"/>
      <c r="H68" s="451"/>
      <c r="I68" s="451"/>
      <c r="J68" s="169"/>
      <c r="K68" s="169"/>
      <c r="L68" s="169"/>
      <c r="M68" s="169"/>
      <c r="N68" s="169"/>
      <c r="O68" s="169"/>
      <c r="P68" s="169"/>
    </row>
    <row r="69" spans="3:16" ht="12.75">
      <c r="C69" s="451" t="s">
        <v>296</v>
      </c>
      <c r="D69" s="451"/>
      <c r="E69" s="451"/>
      <c r="F69" s="451"/>
      <c r="G69" s="451"/>
      <c r="H69" s="451"/>
      <c r="I69" s="451"/>
      <c r="J69" s="169"/>
      <c r="K69" s="169"/>
      <c r="L69" s="169"/>
      <c r="M69" s="169"/>
      <c r="N69" s="169"/>
      <c r="O69" s="169"/>
      <c r="P69" s="169"/>
    </row>
    <row r="70" spans="3:16" ht="12.75">
      <c r="C70" s="451"/>
      <c r="D70" s="451"/>
      <c r="E70" s="451"/>
      <c r="F70" s="451"/>
      <c r="G70" s="451"/>
      <c r="H70" s="451"/>
      <c r="I70" s="451"/>
      <c r="J70" s="169"/>
      <c r="K70" s="169"/>
      <c r="L70" s="169"/>
      <c r="M70" s="169"/>
      <c r="N70" s="169"/>
      <c r="O70" s="169"/>
      <c r="P70" s="169"/>
    </row>
    <row r="71" spans="3:16" ht="12.75">
      <c r="C71" s="451" t="s">
        <v>297</v>
      </c>
      <c r="D71" s="451"/>
      <c r="E71" s="451"/>
      <c r="F71" s="451"/>
      <c r="G71" s="451"/>
      <c r="H71" s="451"/>
      <c r="I71" s="451"/>
      <c r="J71" s="169"/>
      <c r="K71" s="169"/>
      <c r="L71" s="169"/>
      <c r="M71" s="169"/>
      <c r="N71" s="169"/>
      <c r="O71" s="169"/>
      <c r="P71" s="169"/>
    </row>
    <row r="72" spans="3:16" ht="12.75">
      <c r="C72" s="365" t="s">
        <v>344</v>
      </c>
      <c r="D72" s="253"/>
      <c r="E72" s="253"/>
      <c r="F72" s="253"/>
      <c r="G72" s="253"/>
      <c r="H72" s="253"/>
      <c r="I72" s="253"/>
      <c r="J72" s="169"/>
      <c r="K72" s="169"/>
      <c r="L72" s="169"/>
      <c r="M72" s="169"/>
      <c r="N72" s="169"/>
      <c r="O72" s="169"/>
      <c r="P72" s="169"/>
    </row>
    <row r="73" spans="3:16" ht="12.75">
      <c r="C73" s="451" t="s">
        <v>2</v>
      </c>
      <c r="D73" s="451"/>
      <c r="E73" s="451"/>
      <c r="F73" s="451"/>
      <c r="G73" s="451"/>
      <c r="H73" s="451"/>
      <c r="I73" s="451"/>
      <c r="J73" s="169"/>
      <c r="K73" s="169"/>
      <c r="L73" s="169"/>
      <c r="M73" s="169"/>
      <c r="N73" s="169"/>
      <c r="O73" s="169"/>
      <c r="P73" s="169"/>
    </row>
    <row r="74" spans="3:16" ht="12.75">
      <c r="C74" s="451" t="s">
        <v>0</v>
      </c>
      <c r="D74" s="451"/>
      <c r="E74" s="451"/>
      <c r="F74" s="451"/>
      <c r="G74" s="451"/>
      <c r="H74" s="451"/>
      <c r="I74" s="451"/>
      <c r="J74" s="169"/>
      <c r="K74" s="169"/>
      <c r="L74" s="169"/>
      <c r="M74" s="169"/>
      <c r="N74" s="169"/>
      <c r="O74" s="169"/>
      <c r="P74" s="169"/>
    </row>
    <row r="75" spans="3:16" ht="12.75">
      <c r="C75" s="451" t="s">
        <v>1</v>
      </c>
      <c r="D75" s="451"/>
      <c r="E75" s="451"/>
      <c r="F75" s="451"/>
      <c r="G75" s="451"/>
      <c r="H75" s="451"/>
      <c r="I75" s="451"/>
      <c r="J75" s="169"/>
      <c r="K75" s="169"/>
      <c r="L75" s="169"/>
      <c r="M75" s="169"/>
      <c r="N75" s="169"/>
      <c r="O75" s="169"/>
      <c r="P75" s="169"/>
    </row>
    <row r="76" spans="3:16" ht="12.75">
      <c r="C76" s="509" t="s">
        <v>372</v>
      </c>
      <c r="D76" s="509"/>
      <c r="E76" s="509"/>
      <c r="F76" s="509"/>
      <c r="G76" s="509"/>
      <c r="H76" s="509"/>
      <c r="I76" s="509"/>
      <c r="J76" s="169"/>
      <c r="K76" s="169"/>
      <c r="L76" s="169"/>
      <c r="M76" s="169"/>
      <c r="N76" s="169"/>
      <c r="O76" s="169"/>
      <c r="P76" s="169"/>
    </row>
    <row r="77" spans="3:16" ht="12.75">
      <c r="C77" s="451" t="s">
        <v>346</v>
      </c>
      <c r="D77" s="451"/>
      <c r="E77" s="451"/>
      <c r="F77" s="451"/>
      <c r="G77" s="451"/>
      <c r="H77" s="451"/>
      <c r="I77" s="451"/>
      <c r="J77" s="169"/>
      <c r="K77" s="169"/>
      <c r="L77" s="169"/>
      <c r="M77" s="169"/>
      <c r="N77" s="169"/>
      <c r="O77" s="169"/>
      <c r="P77" s="169"/>
    </row>
    <row r="78" spans="3:16" ht="12.75">
      <c r="C78" s="451"/>
      <c r="D78" s="451"/>
      <c r="E78" s="451"/>
      <c r="F78" s="451"/>
      <c r="G78" s="451"/>
      <c r="H78" s="451"/>
      <c r="I78" s="451"/>
      <c r="J78" s="169"/>
      <c r="K78" s="169"/>
      <c r="L78" s="169"/>
      <c r="M78" s="169"/>
      <c r="N78" s="169"/>
      <c r="O78" s="169"/>
      <c r="P78" s="169"/>
    </row>
    <row r="79" spans="3:16" ht="12.75">
      <c r="C79" s="451" t="s">
        <v>347</v>
      </c>
      <c r="D79" s="451"/>
      <c r="E79" s="451"/>
      <c r="F79" s="451"/>
      <c r="G79" s="451"/>
      <c r="H79" s="451"/>
      <c r="I79" s="451"/>
      <c r="J79" s="169"/>
      <c r="K79" s="169"/>
      <c r="L79" s="169"/>
      <c r="M79" s="169"/>
      <c r="N79" s="169"/>
      <c r="O79" s="169"/>
      <c r="P79" s="169"/>
    </row>
    <row r="80" spans="3:9" ht="12.75">
      <c r="C80" s="451" t="s">
        <v>170</v>
      </c>
      <c r="D80" s="451"/>
      <c r="E80" s="451"/>
      <c r="F80" s="451"/>
      <c r="G80" s="451"/>
      <c r="H80" s="451"/>
      <c r="I80" s="451"/>
    </row>
    <row r="81" spans="3:9" ht="12.75">
      <c r="C81" s="253"/>
      <c r="D81" s="253"/>
      <c r="E81" s="253"/>
      <c r="F81" s="253"/>
      <c r="G81" s="253"/>
      <c r="H81" s="253"/>
      <c r="I81" s="253"/>
    </row>
    <row r="82" spans="2:10" ht="15.75">
      <c r="B82" s="36" t="s">
        <v>23</v>
      </c>
      <c r="C82" s="35"/>
      <c r="D82" s="35"/>
      <c r="E82" s="35"/>
      <c r="F82" s="35"/>
      <c r="G82" s="422" t="s">
        <v>21</v>
      </c>
      <c r="H82" s="422"/>
      <c r="I82" s="422"/>
      <c r="J82" s="422"/>
    </row>
  </sheetData>
  <mergeCells count="25">
    <mergeCell ref="C76:I76"/>
    <mergeCell ref="C8:I8"/>
    <mergeCell ref="I4:J4"/>
    <mergeCell ref="C2:J2"/>
    <mergeCell ref="B6:J6"/>
    <mergeCell ref="C57:I57"/>
    <mergeCell ref="C59:I59"/>
    <mergeCell ref="C60:I60"/>
    <mergeCell ref="C55:I56"/>
    <mergeCell ref="C58:I58"/>
    <mergeCell ref="C79:I79"/>
    <mergeCell ref="C80:I80"/>
    <mergeCell ref="G82:J82"/>
    <mergeCell ref="C77:I78"/>
    <mergeCell ref="C69:I70"/>
    <mergeCell ref="C61:I61"/>
    <mergeCell ref="C62:I62"/>
    <mergeCell ref="C63:I63"/>
    <mergeCell ref="C66:I66"/>
    <mergeCell ref="C64:I65"/>
    <mergeCell ref="C67:I68"/>
    <mergeCell ref="C71:I71"/>
    <mergeCell ref="C74:I74"/>
    <mergeCell ref="C75:I75"/>
    <mergeCell ref="C73:I73"/>
  </mergeCells>
  <hyperlinks>
    <hyperlink ref="I4" location="Índice!B23" display="Volver al índice"/>
    <hyperlink ref="I4:J4" location="Índice!B6" display="Volver al índice"/>
  </hyperlinks>
  <printOptions horizontalCentered="1" verticalCentered="1"/>
  <pageMargins left="0.75" right="0.75" top="1" bottom="1" header="0.5" footer="0.5"/>
  <pageSetup horizontalDpi="600" verticalDpi="600" orientation="portrait" scale="53"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dimension ref="A1:K23"/>
  <sheetViews>
    <sheetView showGridLines="0" view="pageBreakPreview" zoomScale="80" zoomScaleSheetLayoutView="80" workbookViewId="0" topLeftCell="A1">
      <selection activeCell="I4" sqref="I4:J4"/>
    </sheetView>
  </sheetViews>
  <sheetFormatPr defaultColWidth="9.140625" defaultRowHeight="12.75"/>
  <cols>
    <col min="1" max="1" width="9.140625" style="38" customWidth="1"/>
    <col min="2" max="2" width="11.7109375" style="38" customWidth="1"/>
    <col min="3" max="3" width="8.8515625" style="38" bestFit="1" customWidth="1"/>
    <col min="4" max="5" width="9.28125" style="38" bestFit="1" customWidth="1"/>
    <col min="6" max="6" width="8.140625" style="38" bestFit="1" customWidth="1"/>
    <col min="7" max="7" width="8.28125" style="38" bestFit="1" customWidth="1"/>
    <col min="8" max="8" width="8.140625" style="38" customWidth="1"/>
    <col min="9" max="9" width="13.421875" style="38" customWidth="1"/>
    <col min="10" max="10" width="2.7109375" style="38" customWidth="1"/>
    <col min="11" max="11" width="9.140625" style="38" customWidth="1"/>
    <col min="12" max="12" width="7.421875" style="38" customWidth="1"/>
    <col min="13" max="16384" width="9.140625" style="38" customWidth="1"/>
  </cols>
  <sheetData>
    <row r="1" ht="12.75">
      <c r="A1" s="192"/>
    </row>
    <row r="2" spans="3:10" ht="12.75">
      <c r="C2" s="390" t="s">
        <v>22</v>
      </c>
      <c r="D2" s="390"/>
      <c r="E2" s="390"/>
      <c r="F2" s="390"/>
      <c r="G2" s="390"/>
      <c r="H2" s="390"/>
      <c r="I2" s="390"/>
      <c r="J2" s="390"/>
    </row>
    <row r="4" spans="9:10" ht="12.75">
      <c r="I4" s="378" t="s">
        <v>8</v>
      </c>
      <c r="J4" s="378"/>
    </row>
    <row r="6" spans="2:10" ht="18.75">
      <c r="B6" s="419" t="s">
        <v>247</v>
      </c>
      <c r="C6" s="419"/>
      <c r="D6" s="419"/>
      <c r="E6" s="419"/>
      <c r="F6" s="419"/>
      <c r="G6" s="419"/>
      <c r="H6" s="419"/>
      <c r="I6" s="419"/>
      <c r="J6" s="419"/>
    </row>
    <row r="7" spans="2:9" ht="12.75">
      <c r="B7" s="151"/>
      <c r="C7" s="150"/>
      <c r="D7" s="150"/>
      <c r="E7" s="150"/>
      <c r="F7" s="150"/>
      <c r="G7" s="150"/>
      <c r="H7" s="150"/>
      <c r="I7" s="150"/>
    </row>
    <row r="8" spans="2:9" ht="12.75">
      <c r="B8" s="454" t="s">
        <v>378</v>
      </c>
      <c r="C8" s="454"/>
      <c r="D8" s="454"/>
      <c r="E8" s="454"/>
      <c r="F8" s="454"/>
      <c r="G8" s="454"/>
      <c r="H8" s="454"/>
      <c r="I8" s="454"/>
    </row>
    <row r="9" spans="2:9" ht="12.75">
      <c r="B9" s="455" t="s">
        <v>171</v>
      </c>
      <c r="C9" s="455"/>
      <c r="D9" s="455"/>
      <c r="E9" s="455"/>
      <c r="F9" s="455"/>
      <c r="G9" s="455"/>
      <c r="H9" s="455"/>
      <c r="I9" s="455"/>
    </row>
    <row r="10" spans="2:9" ht="7.5" customHeight="1">
      <c r="B10" s="152"/>
      <c r="C10" s="150"/>
      <c r="D10" s="150"/>
      <c r="E10" s="150"/>
      <c r="F10" s="150"/>
      <c r="G10" s="150"/>
      <c r="H10" s="150"/>
      <c r="I10" s="150"/>
    </row>
    <row r="11" spans="2:9" ht="12.75" customHeight="1">
      <c r="B11" s="456" t="s">
        <v>172</v>
      </c>
      <c r="C11" s="456"/>
      <c r="D11" s="456"/>
      <c r="E11" s="456"/>
      <c r="F11" s="456"/>
      <c r="G11" s="456"/>
      <c r="H11" s="456"/>
      <c r="I11" s="456"/>
    </row>
    <row r="12" spans="2:9" ht="12.75">
      <c r="B12" s="189" t="s">
        <v>152</v>
      </c>
      <c r="C12" s="189" t="s">
        <v>76</v>
      </c>
      <c r="D12" s="189" t="s">
        <v>77</v>
      </c>
      <c r="E12" s="189" t="s">
        <v>78</v>
      </c>
      <c r="F12" s="189" t="s">
        <v>61</v>
      </c>
      <c r="G12" s="189" t="s">
        <v>62</v>
      </c>
      <c r="H12" s="189" t="s">
        <v>79</v>
      </c>
      <c r="I12" s="189" t="s">
        <v>80</v>
      </c>
    </row>
    <row r="13" spans="2:9" ht="12.75" customHeight="1">
      <c r="B13" s="501" t="s">
        <v>197</v>
      </c>
      <c r="C13" s="502">
        <v>122.1</v>
      </c>
      <c r="D13" s="502">
        <v>167.4</v>
      </c>
      <c r="E13" s="502">
        <v>150.2</v>
      </c>
      <c r="F13" s="502">
        <v>118.6</v>
      </c>
      <c r="G13" s="502">
        <v>75.5</v>
      </c>
      <c r="H13" s="502">
        <v>29.3</v>
      </c>
      <c r="I13" s="502">
        <v>4.7</v>
      </c>
    </row>
    <row r="14" spans="2:9" ht="12.75" customHeight="1">
      <c r="B14" s="233" t="s">
        <v>165</v>
      </c>
      <c r="C14" s="495">
        <v>116.4</v>
      </c>
      <c r="D14" s="495">
        <v>161.1</v>
      </c>
      <c r="E14" s="495">
        <v>142.5</v>
      </c>
      <c r="F14" s="495">
        <v>110.2</v>
      </c>
      <c r="G14" s="495">
        <v>68.3</v>
      </c>
      <c r="H14" s="495">
        <v>25.6</v>
      </c>
      <c r="I14" s="495">
        <v>3.9</v>
      </c>
    </row>
    <row r="15" spans="2:11" ht="12.75" customHeight="1">
      <c r="B15" s="499" t="s">
        <v>166</v>
      </c>
      <c r="C15" s="500">
        <v>108.2</v>
      </c>
      <c r="D15" s="500">
        <v>151.6</v>
      </c>
      <c r="E15" s="500">
        <v>131.3</v>
      </c>
      <c r="F15" s="500">
        <v>98.7</v>
      </c>
      <c r="G15" s="500">
        <v>59</v>
      </c>
      <c r="H15" s="500">
        <v>21.1</v>
      </c>
      <c r="I15" s="500">
        <v>3</v>
      </c>
      <c r="K15" s="398"/>
    </row>
    <row r="16" spans="2:9" ht="12.75" customHeight="1">
      <c r="B16" s="233" t="s">
        <v>167</v>
      </c>
      <c r="C16" s="495">
        <v>99.8</v>
      </c>
      <c r="D16" s="495">
        <v>141.5</v>
      </c>
      <c r="E16" s="495">
        <v>120.1</v>
      </c>
      <c r="F16" s="495">
        <v>87.8</v>
      </c>
      <c r="G16" s="495">
        <v>50.7</v>
      </c>
      <c r="H16" s="495">
        <v>17.3</v>
      </c>
      <c r="I16" s="495">
        <v>2.3</v>
      </c>
    </row>
    <row r="17" spans="2:9" ht="12.75" customHeight="1">
      <c r="B17" s="499" t="s">
        <v>168</v>
      </c>
      <c r="C17" s="500">
        <v>76.3</v>
      </c>
      <c r="D17" s="500">
        <v>132.7</v>
      </c>
      <c r="E17" s="500">
        <v>114.1</v>
      </c>
      <c r="F17" s="500">
        <v>83.9</v>
      </c>
      <c r="G17" s="500">
        <v>52</v>
      </c>
      <c r="H17" s="500">
        <v>22.6</v>
      </c>
      <c r="I17" s="500">
        <v>7.5</v>
      </c>
    </row>
    <row r="18" spans="2:9" ht="12.75" customHeight="1">
      <c r="B18" s="233" t="s">
        <v>169</v>
      </c>
      <c r="C18" s="495">
        <v>74.5</v>
      </c>
      <c r="D18" s="495">
        <v>122.7</v>
      </c>
      <c r="E18" s="495">
        <v>107</v>
      </c>
      <c r="F18" s="495">
        <v>81.1</v>
      </c>
      <c r="G18" s="495">
        <v>52.3</v>
      </c>
      <c r="H18" s="495">
        <v>23.9</v>
      </c>
      <c r="I18" s="495">
        <v>8.5</v>
      </c>
    </row>
    <row r="19" spans="2:9" ht="12.75" customHeight="1">
      <c r="B19" s="497" t="s">
        <v>198</v>
      </c>
      <c r="C19" s="498">
        <v>73.3</v>
      </c>
      <c r="D19" s="498">
        <v>116.6</v>
      </c>
      <c r="E19" s="498">
        <v>102.4</v>
      </c>
      <c r="F19" s="498">
        <v>79.1</v>
      </c>
      <c r="G19" s="498">
        <v>52.3</v>
      </c>
      <c r="H19" s="498">
        <v>24.8</v>
      </c>
      <c r="I19" s="498">
        <v>9.3</v>
      </c>
    </row>
    <row r="20" spans="2:9" ht="3.75" customHeight="1">
      <c r="B20" s="165"/>
      <c r="C20" s="165"/>
      <c r="D20" s="165"/>
      <c r="E20" s="165"/>
      <c r="F20" s="165"/>
      <c r="G20" s="165"/>
      <c r="H20" s="165"/>
      <c r="I20" s="165"/>
    </row>
    <row r="21" spans="2:9" ht="24" customHeight="1">
      <c r="B21" s="496" t="s">
        <v>379</v>
      </c>
      <c r="C21" s="496"/>
      <c r="D21" s="496"/>
      <c r="E21" s="496"/>
      <c r="F21" s="496"/>
      <c r="G21" s="496"/>
      <c r="H21" s="496"/>
      <c r="I21" s="496"/>
    </row>
    <row r="22" ht="12.75">
      <c r="B22" s="250"/>
    </row>
    <row r="23" spans="2:10" ht="15.75">
      <c r="B23" s="36" t="s">
        <v>23</v>
      </c>
      <c r="C23" s="35"/>
      <c r="D23" s="35"/>
      <c r="E23" s="422" t="s">
        <v>21</v>
      </c>
      <c r="F23" s="422"/>
      <c r="G23" s="422"/>
      <c r="H23" s="422"/>
      <c r="I23" s="422"/>
      <c r="J23" s="34"/>
    </row>
  </sheetData>
  <mergeCells count="8">
    <mergeCell ref="C2:J2"/>
    <mergeCell ref="B6:J6"/>
    <mergeCell ref="E23:I23"/>
    <mergeCell ref="B21:I21"/>
    <mergeCell ref="B8:I8"/>
    <mergeCell ref="B9:I9"/>
    <mergeCell ref="B11:I11"/>
    <mergeCell ref="I4:J4"/>
  </mergeCells>
  <hyperlinks>
    <hyperlink ref="I4" location="Índice!B23" display="Volver al índice"/>
    <hyperlink ref="I4:J4" location="Índice!B6" display="Volver al índice"/>
  </hyperlinks>
  <printOptions horizontalCentered="1" verticalCentered="1"/>
  <pageMargins left="0.75" right="0.75" top="1" bottom="1" header="0.5" footer="0.5"/>
  <pageSetup horizontalDpi="600" verticalDpi="600" orientation="portrait" scale="80"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dimension ref="A1:N34"/>
  <sheetViews>
    <sheetView showGridLines="0" view="pageBreakPreview" zoomScale="80" zoomScaleSheetLayoutView="80" workbookViewId="0" topLeftCell="A1">
      <selection activeCell="A1" sqref="A1"/>
    </sheetView>
  </sheetViews>
  <sheetFormatPr defaultColWidth="9.140625" defaultRowHeight="12.75"/>
  <cols>
    <col min="3" max="3" width="9.7109375" style="0" customWidth="1"/>
    <col min="4" max="4" width="10.28125" style="0" customWidth="1"/>
    <col min="5" max="5" width="9.7109375" style="0" customWidth="1"/>
    <col min="6" max="6" width="10.28125" style="0" customWidth="1"/>
    <col min="7" max="7" width="9.7109375" style="0" customWidth="1"/>
    <col min="8" max="8" width="10.421875" style="0" customWidth="1"/>
    <col min="9" max="9" width="9.7109375" style="0" customWidth="1"/>
    <col min="10" max="10" width="10.28125" style="0" customWidth="1"/>
    <col min="11" max="13" width="9.7109375" style="0" customWidth="1"/>
    <col min="14" max="14" width="7.421875" style="0" customWidth="1"/>
  </cols>
  <sheetData>
    <row r="1" spans="1:14" ht="12.75">
      <c r="A1" s="192"/>
      <c r="B1" s="9"/>
      <c r="C1" s="9"/>
      <c r="D1" s="9"/>
      <c r="E1" s="9"/>
      <c r="F1" s="9"/>
      <c r="G1" s="9"/>
      <c r="H1" s="9"/>
      <c r="I1" s="9"/>
      <c r="J1" s="9"/>
      <c r="K1" s="9"/>
      <c r="L1" s="9"/>
      <c r="M1" s="9"/>
      <c r="N1" s="9"/>
    </row>
    <row r="2" spans="1:14" ht="12.75">
      <c r="A2" s="9"/>
      <c r="B2" s="9"/>
      <c r="D2" s="3"/>
      <c r="E2" s="3"/>
      <c r="F2" s="3"/>
      <c r="G2" s="3"/>
      <c r="H2" s="3"/>
      <c r="I2" s="3"/>
      <c r="J2" s="377" t="s">
        <v>22</v>
      </c>
      <c r="K2" s="377"/>
      <c r="L2" s="377"/>
      <c r="M2" s="377"/>
      <c r="N2" s="377"/>
    </row>
    <row r="3" spans="1:14" ht="12.75">
      <c r="A3" s="9"/>
      <c r="B3" s="9"/>
      <c r="C3" s="9"/>
      <c r="D3" s="9"/>
      <c r="E3" s="9"/>
      <c r="F3" s="9"/>
      <c r="G3" s="9"/>
      <c r="H3" s="9"/>
      <c r="I3" s="9"/>
      <c r="J3" s="9"/>
      <c r="K3" s="9"/>
      <c r="L3" s="9"/>
      <c r="M3" s="9"/>
      <c r="N3" s="9"/>
    </row>
    <row r="4" spans="1:14" ht="12.75">
      <c r="A4" s="9"/>
      <c r="B4" s="9"/>
      <c r="C4" s="9"/>
      <c r="D4" s="9"/>
      <c r="E4" s="9"/>
      <c r="F4" s="9"/>
      <c r="G4" s="9"/>
      <c r="H4" s="9"/>
      <c r="K4" s="453" t="s">
        <v>8</v>
      </c>
      <c r="L4" s="453"/>
      <c r="M4" s="453"/>
      <c r="N4" s="453"/>
    </row>
    <row r="5" spans="1:14" ht="12.75">
      <c r="A5" s="9"/>
      <c r="B5" s="9"/>
      <c r="C5" s="9"/>
      <c r="D5" s="9"/>
      <c r="E5" s="9"/>
      <c r="F5" s="9"/>
      <c r="G5" s="9"/>
      <c r="H5" s="9"/>
      <c r="I5" s="9"/>
      <c r="J5" s="9"/>
      <c r="K5" s="9"/>
      <c r="L5" s="9"/>
      <c r="M5" s="9"/>
      <c r="N5" s="9"/>
    </row>
    <row r="6" spans="1:14" ht="18.75">
      <c r="A6" s="9"/>
      <c r="B6" s="419" t="s">
        <v>248</v>
      </c>
      <c r="C6" s="419"/>
      <c r="D6" s="419"/>
      <c r="E6" s="419"/>
      <c r="F6" s="419"/>
      <c r="G6" s="419"/>
      <c r="H6" s="419"/>
      <c r="I6" s="419"/>
      <c r="J6" s="419"/>
      <c r="K6" s="419"/>
      <c r="L6" s="419"/>
      <c r="M6" s="419"/>
      <c r="N6" s="419"/>
    </row>
    <row r="7" spans="1:14" ht="12.75">
      <c r="A7" s="9"/>
      <c r="C7" s="151"/>
      <c r="D7" s="150"/>
      <c r="E7" s="150"/>
      <c r="F7" s="150"/>
      <c r="G7" s="150"/>
      <c r="H7" s="150"/>
      <c r="I7" s="150"/>
      <c r="J7" s="150"/>
      <c r="K7" s="150"/>
      <c r="L7" s="150"/>
      <c r="M7" s="150"/>
      <c r="N7" s="9"/>
    </row>
    <row r="8" spans="1:14" ht="12.75">
      <c r="A8" s="9"/>
      <c r="C8" s="454" t="s">
        <v>373</v>
      </c>
      <c r="D8" s="454"/>
      <c r="E8" s="454"/>
      <c r="F8" s="454"/>
      <c r="G8" s="454"/>
      <c r="H8" s="454"/>
      <c r="I8" s="454"/>
      <c r="J8" s="454"/>
      <c r="K8" s="454"/>
      <c r="L8" s="454"/>
      <c r="M8" s="454"/>
      <c r="N8" s="9"/>
    </row>
    <row r="9" spans="1:14" ht="12.75">
      <c r="A9" s="9"/>
      <c r="C9" s="455" t="s">
        <v>173</v>
      </c>
      <c r="D9" s="455"/>
      <c r="E9" s="455"/>
      <c r="F9" s="455"/>
      <c r="G9" s="455"/>
      <c r="H9" s="455"/>
      <c r="I9" s="455"/>
      <c r="J9" s="455"/>
      <c r="K9" s="455"/>
      <c r="L9" s="455"/>
      <c r="M9" s="455"/>
      <c r="N9" s="9"/>
    </row>
    <row r="10" spans="1:14" ht="12.75">
      <c r="A10" s="9"/>
      <c r="C10" s="152"/>
      <c r="D10" s="150"/>
      <c r="E10" s="150"/>
      <c r="F10" s="150"/>
      <c r="G10" s="150"/>
      <c r="H10" s="150"/>
      <c r="I10" s="150"/>
      <c r="J10" s="150"/>
      <c r="K10" s="150"/>
      <c r="L10" s="150"/>
      <c r="M10" s="150"/>
      <c r="N10" s="9"/>
    </row>
    <row r="11" spans="1:14" ht="12.75">
      <c r="A11" s="9"/>
      <c r="C11" s="443" t="s">
        <v>174</v>
      </c>
      <c r="D11" s="456">
        <v>1964</v>
      </c>
      <c r="E11" s="456"/>
      <c r="F11" s="456">
        <v>1973</v>
      </c>
      <c r="G11" s="456"/>
      <c r="H11" s="456">
        <v>1985</v>
      </c>
      <c r="I11" s="456"/>
      <c r="J11" s="456">
        <v>1993</v>
      </c>
      <c r="K11" s="456"/>
      <c r="L11" s="456">
        <v>2005</v>
      </c>
      <c r="M11" s="456"/>
      <c r="N11" s="9"/>
    </row>
    <row r="12" spans="1:14" ht="47.25" customHeight="1">
      <c r="A12" s="9"/>
      <c r="C12" s="444"/>
      <c r="D12" s="184" t="s">
        <v>69</v>
      </c>
      <c r="E12" s="185" t="s">
        <v>70</v>
      </c>
      <c r="F12" s="184" t="s">
        <v>69</v>
      </c>
      <c r="G12" s="184" t="s">
        <v>70</v>
      </c>
      <c r="H12" s="184" t="s">
        <v>69</v>
      </c>
      <c r="I12" s="184" t="s">
        <v>70</v>
      </c>
      <c r="J12" s="184" t="s">
        <v>69</v>
      </c>
      <c r="K12" s="184" t="s">
        <v>70</v>
      </c>
      <c r="L12" s="184" t="s">
        <v>69</v>
      </c>
      <c r="M12" s="184" t="s">
        <v>70</v>
      </c>
      <c r="N12" s="9"/>
    </row>
    <row r="13" spans="1:14" ht="12.75">
      <c r="A13" s="9"/>
      <c r="C13" s="153">
        <v>0</v>
      </c>
      <c r="D13" s="244">
        <v>127</v>
      </c>
      <c r="E13" s="244">
        <v>112.7</v>
      </c>
      <c r="F13" s="244">
        <v>110.4</v>
      </c>
      <c r="G13" s="244">
        <v>98</v>
      </c>
      <c r="H13" s="244">
        <v>48.2</v>
      </c>
      <c r="I13" s="244">
        <v>36.7</v>
      </c>
      <c r="J13" s="244">
        <v>31.8</v>
      </c>
      <c r="K13" s="244">
        <v>23.9</v>
      </c>
      <c r="L13" s="244">
        <v>24.75</v>
      </c>
      <c r="M13" s="244">
        <v>17.72</v>
      </c>
      <c r="N13" s="9"/>
    </row>
    <row r="14" spans="1:14" ht="12.75">
      <c r="A14" s="9"/>
      <c r="C14" s="222">
        <v>1</v>
      </c>
      <c r="D14" s="236">
        <v>17.1</v>
      </c>
      <c r="E14" s="236">
        <v>16.6</v>
      </c>
      <c r="F14" s="236">
        <v>12.7</v>
      </c>
      <c r="G14" s="236">
        <v>11.9</v>
      </c>
      <c r="H14" s="236">
        <v>3</v>
      </c>
      <c r="I14" s="236">
        <v>2.7</v>
      </c>
      <c r="J14" s="236">
        <v>2.7</v>
      </c>
      <c r="K14" s="236">
        <v>2.2</v>
      </c>
      <c r="L14" s="236">
        <v>1.23</v>
      </c>
      <c r="M14" s="236">
        <v>0.99</v>
      </c>
      <c r="N14" s="9"/>
    </row>
    <row r="15" spans="1:14" ht="12.75">
      <c r="A15" s="9"/>
      <c r="C15" s="153">
        <v>5</v>
      </c>
      <c r="D15" s="244">
        <v>2.9</v>
      </c>
      <c r="E15" s="244">
        <v>2.7</v>
      </c>
      <c r="F15" s="244">
        <v>2.1</v>
      </c>
      <c r="G15" s="244">
        <v>1.8</v>
      </c>
      <c r="H15" s="244">
        <v>0.8</v>
      </c>
      <c r="I15" s="244">
        <v>0.6</v>
      </c>
      <c r="J15" s="244">
        <v>0.8</v>
      </c>
      <c r="K15" s="244">
        <v>0.5</v>
      </c>
      <c r="L15" s="244">
        <v>0.49</v>
      </c>
      <c r="M15" s="244">
        <v>0.31</v>
      </c>
      <c r="N15" s="9"/>
    </row>
    <row r="16" spans="1:14" ht="12.75">
      <c r="A16" s="9"/>
      <c r="C16" s="222">
        <v>10</v>
      </c>
      <c r="D16" s="236">
        <v>1.7</v>
      </c>
      <c r="E16" s="236">
        <v>1.7</v>
      </c>
      <c r="F16" s="236">
        <v>1.4</v>
      </c>
      <c r="G16" s="236">
        <v>1.2</v>
      </c>
      <c r="H16" s="236">
        <v>0.8</v>
      </c>
      <c r="I16" s="236">
        <v>0.5</v>
      </c>
      <c r="J16" s="236">
        <v>0.7</v>
      </c>
      <c r="K16" s="236">
        <v>0.4</v>
      </c>
      <c r="L16" s="236">
        <v>0.62</v>
      </c>
      <c r="M16" s="236">
        <v>0.33</v>
      </c>
      <c r="N16" s="9"/>
    </row>
    <row r="17" spans="1:14" ht="12.75">
      <c r="A17" s="9"/>
      <c r="C17" s="153">
        <v>15</v>
      </c>
      <c r="D17" s="244">
        <v>2.6</v>
      </c>
      <c r="E17" s="244">
        <v>2.4</v>
      </c>
      <c r="F17" s="244">
        <v>2.1</v>
      </c>
      <c r="G17" s="244">
        <v>1.8</v>
      </c>
      <c r="H17" s="244">
        <v>2</v>
      </c>
      <c r="I17" s="244">
        <v>0.9</v>
      </c>
      <c r="J17" s="244">
        <v>1.8</v>
      </c>
      <c r="K17" s="244">
        <v>0.7</v>
      </c>
      <c r="L17" s="244">
        <v>2.05</v>
      </c>
      <c r="M17" s="244">
        <v>0.58</v>
      </c>
      <c r="N17" s="9"/>
    </row>
    <row r="18" spans="1:14" ht="12.75">
      <c r="A18" s="9"/>
      <c r="C18" s="222">
        <v>20</v>
      </c>
      <c r="D18" s="236">
        <v>3.9</v>
      </c>
      <c r="E18" s="236">
        <v>3.2</v>
      </c>
      <c r="F18" s="236">
        <v>3.1</v>
      </c>
      <c r="G18" s="236">
        <v>2.4</v>
      </c>
      <c r="H18" s="236">
        <v>4</v>
      </c>
      <c r="I18" s="236">
        <v>1.1</v>
      </c>
      <c r="J18" s="236">
        <v>3.6</v>
      </c>
      <c r="K18" s="236">
        <v>0.9</v>
      </c>
      <c r="L18" s="236">
        <v>3.9</v>
      </c>
      <c r="M18" s="236">
        <v>0.88</v>
      </c>
      <c r="N18" s="9"/>
    </row>
    <row r="19" spans="1:14" ht="12.75">
      <c r="A19" s="9"/>
      <c r="C19" s="153">
        <v>25</v>
      </c>
      <c r="D19" s="244">
        <v>4</v>
      </c>
      <c r="E19" s="244">
        <v>3.6</v>
      </c>
      <c r="F19" s="244">
        <v>3.1</v>
      </c>
      <c r="G19" s="244">
        <v>2.7</v>
      </c>
      <c r="H19" s="244">
        <v>4.8</v>
      </c>
      <c r="I19" s="244">
        <v>1.3</v>
      </c>
      <c r="J19" s="244">
        <v>4.4</v>
      </c>
      <c r="K19" s="244">
        <v>1.1</v>
      </c>
      <c r="L19" s="244">
        <v>3.9</v>
      </c>
      <c r="M19" s="244">
        <v>0.81</v>
      </c>
      <c r="N19" s="9"/>
    </row>
    <row r="20" spans="1:14" ht="12.75">
      <c r="A20" s="9"/>
      <c r="C20" s="222">
        <v>30</v>
      </c>
      <c r="D20" s="236">
        <v>4.6</v>
      </c>
      <c r="E20" s="236">
        <v>3.9</v>
      </c>
      <c r="F20" s="236">
        <v>3.7</v>
      </c>
      <c r="G20" s="236">
        <v>3</v>
      </c>
      <c r="H20" s="236">
        <v>4.7</v>
      </c>
      <c r="I20" s="236">
        <v>1.7</v>
      </c>
      <c r="J20" s="236">
        <v>4.3</v>
      </c>
      <c r="K20" s="236">
        <v>1.4</v>
      </c>
      <c r="L20" s="236">
        <v>3.65</v>
      </c>
      <c r="M20" s="236">
        <v>0.98</v>
      </c>
      <c r="N20" s="9"/>
    </row>
    <row r="21" spans="1:14" ht="12.75">
      <c r="A21" s="9"/>
      <c r="C21" s="153">
        <v>35</v>
      </c>
      <c r="D21" s="244">
        <v>5.2</v>
      </c>
      <c r="E21" s="244">
        <v>4.3</v>
      </c>
      <c r="F21" s="244">
        <v>4.3</v>
      </c>
      <c r="G21" s="244">
        <v>3.4</v>
      </c>
      <c r="H21" s="244">
        <v>4.6</v>
      </c>
      <c r="I21" s="244">
        <v>2.2</v>
      </c>
      <c r="J21" s="244">
        <v>4.2</v>
      </c>
      <c r="K21" s="244">
        <v>1.9</v>
      </c>
      <c r="L21" s="244">
        <v>3.73</v>
      </c>
      <c r="M21" s="244">
        <v>1.33</v>
      </c>
      <c r="N21" s="9"/>
    </row>
    <row r="22" spans="1:14" ht="12.75">
      <c r="A22" s="9"/>
      <c r="C22" s="222">
        <v>40</v>
      </c>
      <c r="D22" s="236">
        <v>6.8</v>
      </c>
      <c r="E22" s="236">
        <v>5.1</v>
      </c>
      <c r="F22" s="236">
        <v>5.8</v>
      </c>
      <c r="G22" s="236">
        <v>4.2</v>
      </c>
      <c r="H22" s="236">
        <v>5.2</v>
      </c>
      <c r="I22" s="236">
        <v>3.4</v>
      </c>
      <c r="J22" s="236">
        <v>4.9</v>
      </c>
      <c r="K22" s="236">
        <v>2.9</v>
      </c>
      <c r="L22" s="236">
        <v>3.84</v>
      </c>
      <c r="M22" s="236">
        <v>1.79</v>
      </c>
      <c r="N22" s="9"/>
    </row>
    <row r="23" spans="1:14" ht="12.75">
      <c r="A23" s="9"/>
      <c r="C23" s="153">
        <v>45</v>
      </c>
      <c r="D23" s="244">
        <v>8.9</v>
      </c>
      <c r="E23" s="244">
        <v>6.1</v>
      </c>
      <c r="F23" s="244">
        <v>7.8</v>
      </c>
      <c r="G23" s="244">
        <v>5.1</v>
      </c>
      <c r="H23" s="244">
        <v>7</v>
      </c>
      <c r="I23" s="244">
        <v>5</v>
      </c>
      <c r="J23" s="244">
        <v>6.6</v>
      </c>
      <c r="K23" s="244">
        <v>4.4</v>
      </c>
      <c r="L23" s="244">
        <v>4.48</v>
      </c>
      <c r="M23" s="244">
        <v>2.8</v>
      </c>
      <c r="N23" s="9"/>
    </row>
    <row r="24" spans="1:14" ht="12.75">
      <c r="A24" s="9"/>
      <c r="C24" s="222">
        <v>50</v>
      </c>
      <c r="D24" s="236">
        <v>12.6</v>
      </c>
      <c r="E24" s="236">
        <v>8.5</v>
      </c>
      <c r="F24" s="236">
        <v>11.3</v>
      </c>
      <c r="G24" s="236">
        <v>7.3</v>
      </c>
      <c r="H24" s="236">
        <v>9.2</v>
      </c>
      <c r="I24" s="236">
        <v>7.6</v>
      </c>
      <c r="J24" s="236">
        <v>8.9</v>
      </c>
      <c r="K24" s="236">
        <v>6.7</v>
      </c>
      <c r="L24" s="236">
        <v>6.66</v>
      </c>
      <c r="M24" s="236">
        <v>4.17</v>
      </c>
      <c r="N24" s="9"/>
    </row>
    <row r="25" spans="3:13" ht="12.75">
      <c r="C25" s="153">
        <v>55</v>
      </c>
      <c r="D25" s="244">
        <v>18.1</v>
      </c>
      <c r="E25" s="244">
        <v>12.1</v>
      </c>
      <c r="F25" s="244">
        <v>15.1</v>
      </c>
      <c r="G25" s="244">
        <v>10.5</v>
      </c>
      <c r="H25" s="244">
        <v>14.8</v>
      </c>
      <c r="I25" s="244">
        <v>12</v>
      </c>
      <c r="J25" s="244">
        <v>14.3</v>
      </c>
      <c r="K25" s="244">
        <v>10.5</v>
      </c>
      <c r="L25" s="244">
        <v>8.9</v>
      </c>
      <c r="M25" s="244">
        <v>5.91</v>
      </c>
    </row>
    <row r="26" spans="3:13" ht="12.75">
      <c r="C26" s="222">
        <v>60</v>
      </c>
      <c r="D26" s="236">
        <v>27.4</v>
      </c>
      <c r="E26" s="236">
        <v>19.8</v>
      </c>
      <c r="F26" s="236">
        <v>25</v>
      </c>
      <c r="G26" s="236">
        <v>17.3</v>
      </c>
      <c r="H26" s="236">
        <v>21.7</v>
      </c>
      <c r="I26" s="236">
        <v>17.9</v>
      </c>
      <c r="J26" s="236">
        <v>21.1</v>
      </c>
      <c r="K26" s="236">
        <v>15.9</v>
      </c>
      <c r="L26" s="236">
        <v>14.18</v>
      </c>
      <c r="M26" s="236">
        <v>9.49</v>
      </c>
    </row>
    <row r="27" spans="3:13" ht="12.75">
      <c r="C27" s="153">
        <v>65</v>
      </c>
      <c r="D27" s="244">
        <v>41.8</v>
      </c>
      <c r="E27" s="244">
        <v>32.8</v>
      </c>
      <c r="F27" s="244">
        <v>38.4</v>
      </c>
      <c r="G27" s="244">
        <v>29</v>
      </c>
      <c r="H27" s="244">
        <v>35.6</v>
      </c>
      <c r="I27" s="244">
        <v>29.8</v>
      </c>
      <c r="J27" s="244">
        <v>34.6</v>
      </c>
      <c r="K27" s="244">
        <v>26.4</v>
      </c>
      <c r="L27" s="244">
        <v>21.85</v>
      </c>
      <c r="M27" s="244">
        <v>15.46</v>
      </c>
    </row>
    <row r="28" spans="3:13" ht="12.75">
      <c r="C28" s="222">
        <v>70</v>
      </c>
      <c r="D28" s="236">
        <v>68.6</v>
      </c>
      <c r="E28" s="236">
        <v>57.6</v>
      </c>
      <c r="F28" s="236">
        <v>63.7</v>
      </c>
      <c r="G28" s="236">
        <v>52</v>
      </c>
      <c r="H28" s="236">
        <v>53</v>
      </c>
      <c r="I28" s="236">
        <v>46</v>
      </c>
      <c r="J28" s="236">
        <v>51.6</v>
      </c>
      <c r="K28" s="236">
        <v>41</v>
      </c>
      <c r="L28" s="236">
        <v>33.77</v>
      </c>
      <c r="M28" s="236">
        <v>25.31</v>
      </c>
    </row>
    <row r="29" spans="3:13" ht="12.75">
      <c r="C29" s="153">
        <v>75</v>
      </c>
      <c r="D29" s="244">
        <v>113.9</v>
      </c>
      <c r="E29" s="244">
        <v>99.9</v>
      </c>
      <c r="F29" s="244">
        <v>107.4</v>
      </c>
      <c r="G29" s="244">
        <v>91.3</v>
      </c>
      <c r="H29" s="244">
        <v>78.9</v>
      </c>
      <c r="I29" s="244">
        <v>73</v>
      </c>
      <c r="J29" s="244">
        <v>77</v>
      </c>
      <c r="K29" s="244">
        <v>65.4</v>
      </c>
      <c r="L29" s="244">
        <v>57.39</v>
      </c>
      <c r="M29" s="244">
        <v>40.45</v>
      </c>
    </row>
    <row r="30" spans="3:13" ht="12.75">
      <c r="C30" s="189">
        <v>80</v>
      </c>
      <c r="D30" s="245">
        <v>211.4</v>
      </c>
      <c r="E30" s="245">
        <v>195.7</v>
      </c>
      <c r="F30" s="245">
        <v>202.9</v>
      </c>
      <c r="G30" s="245">
        <v>185.3</v>
      </c>
      <c r="H30" s="245">
        <v>134.1</v>
      </c>
      <c r="I30" s="245">
        <v>129.7</v>
      </c>
      <c r="J30" s="245">
        <v>133.1</v>
      </c>
      <c r="K30" s="245">
        <v>124.9</v>
      </c>
      <c r="L30" s="245">
        <v>116.96</v>
      </c>
      <c r="M30" s="245">
        <v>134.61</v>
      </c>
    </row>
    <row r="31" spans="3:13" ht="6" customHeight="1">
      <c r="C31" s="150"/>
      <c r="D31" s="150"/>
      <c r="E31" s="150"/>
      <c r="F31" s="150"/>
      <c r="G31" s="150"/>
      <c r="H31" s="150"/>
      <c r="I31" s="150"/>
      <c r="J31" s="150"/>
      <c r="K31" s="150"/>
      <c r="L31" s="150"/>
      <c r="M31" s="150"/>
    </row>
    <row r="32" spans="3:13" ht="35.25" customHeight="1">
      <c r="C32" s="457" t="s">
        <v>374</v>
      </c>
      <c r="D32" s="457"/>
      <c r="E32" s="457"/>
      <c r="F32" s="457"/>
      <c r="G32" s="457"/>
      <c r="H32" s="457"/>
      <c r="I32" s="457"/>
      <c r="J32" s="457"/>
      <c r="K32" s="457"/>
      <c r="L32" s="457"/>
      <c r="M32" s="457"/>
    </row>
    <row r="33" ht="12.75">
      <c r="C33" s="251"/>
    </row>
    <row r="34" spans="2:14" ht="15.75">
      <c r="B34" s="36" t="s">
        <v>23</v>
      </c>
      <c r="C34" s="35"/>
      <c r="D34" s="34"/>
      <c r="E34" s="34"/>
      <c r="F34" s="34"/>
      <c r="G34" s="34"/>
      <c r="H34" s="34"/>
      <c r="I34" s="34"/>
      <c r="J34" s="34"/>
      <c r="K34" s="34"/>
      <c r="L34" s="34"/>
      <c r="M34" s="34"/>
      <c r="N34" s="34" t="s">
        <v>21</v>
      </c>
    </row>
  </sheetData>
  <mergeCells count="12">
    <mergeCell ref="F11:G11"/>
    <mergeCell ref="H11:I11"/>
    <mergeCell ref="J11:K11"/>
    <mergeCell ref="C32:M32"/>
    <mergeCell ref="K4:N4"/>
    <mergeCell ref="J2:N2"/>
    <mergeCell ref="L11:M11"/>
    <mergeCell ref="C8:M8"/>
    <mergeCell ref="C9:M9"/>
    <mergeCell ref="B6:N6"/>
    <mergeCell ref="C11:C12"/>
    <mergeCell ref="D11:E11"/>
  </mergeCells>
  <hyperlinks>
    <hyperlink ref="K4" location="Índice!B23" display="Volver al índice"/>
    <hyperlink ref="K4:N4" location="Índice!B6" display="Volver al índice"/>
  </hyperlinks>
  <printOptions horizontalCentered="1" verticalCentered="1"/>
  <pageMargins left="0.75" right="0.75" top="1" bottom="1" header="0.5" footer="0.5"/>
  <pageSetup horizontalDpi="600" verticalDpi="600" orientation="portrait" scale="63"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33"/>
  <sheetViews>
    <sheetView showGridLines="0" view="pageBreakPreview" zoomScale="80" zoomScaleSheetLayoutView="80" workbookViewId="0" topLeftCell="A1">
      <selection activeCell="O4" sqref="O4:P4"/>
    </sheetView>
  </sheetViews>
  <sheetFormatPr defaultColWidth="9.140625" defaultRowHeight="12.75"/>
  <cols>
    <col min="2" max="2" width="10.28125" style="0" customWidth="1"/>
    <col min="3" max="3" width="11.57421875" style="0" customWidth="1"/>
    <col min="4" max="4" width="14.00390625" style="0" customWidth="1"/>
    <col min="5" max="5" width="12.7109375" style="0" customWidth="1"/>
    <col min="6" max="6" width="15.140625" style="0" customWidth="1"/>
    <col min="7" max="7" width="11.421875" style="0" customWidth="1"/>
    <col min="8" max="8" width="13.00390625" style="0" customWidth="1"/>
    <col min="9" max="9" width="12.57421875" style="0" customWidth="1"/>
    <col min="10" max="10" width="13.28125" style="0" customWidth="1"/>
    <col min="11" max="11" width="15.57421875" style="0" customWidth="1"/>
    <col min="13" max="13" width="9.00390625" style="0" customWidth="1"/>
    <col min="14" max="14" width="9.421875" style="0" customWidth="1"/>
    <col min="15" max="15" width="11.7109375" style="0" customWidth="1"/>
  </cols>
  <sheetData>
    <row r="1" spans="1:13" ht="12.75">
      <c r="A1" s="192"/>
      <c r="B1" s="9"/>
      <c r="C1" s="9"/>
      <c r="D1" s="9"/>
      <c r="E1" s="9"/>
      <c r="F1" s="9"/>
      <c r="G1" s="9"/>
      <c r="H1" s="9"/>
      <c r="I1" s="9"/>
      <c r="J1" s="9"/>
      <c r="K1" s="9"/>
      <c r="L1" s="9"/>
      <c r="M1" s="9"/>
    </row>
    <row r="2" spans="1:16" ht="12.75">
      <c r="A2" s="9"/>
      <c r="B2" s="9"/>
      <c r="C2" s="9"/>
      <c r="E2" s="3"/>
      <c r="F2" s="3"/>
      <c r="G2" s="3"/>
      <c r="H2" s="3"/>
      <c r="I2" s="3"/>
      <c r="J2" s="3"/>
      <c r="K2" s="3"/>
      <c r="L2" s="9"/>
      <c r="N2" s="377" t="s">
        <v>22</v>
      </c>
      <c r="O2" s="377"/>
      <c r="P2" s="377"/>
    </row>
    <row r="3" spans="1:13" ht="12.75">
      <c r="A3" s="9"/>
      <c r="B3" s="9"/>
      <c r="C3" s="9"/>
      <c r="D3" s="9"/>
      <c r="E3" s="9"/>
      <c r="F3" s="9"/>
      <c r="G3" s="9"/>
      <c r="H3" s="9"/>
      <c r="I3" s="9"/>
      <c r="J3" s="9"/>
      <c r="K3" s="9"/>
      <c r="L3" s="9"/>
      <c r="M3" s="9"/>
    </row>
    <row r="4" spans="1:16" ht="12.75">
      <c r="A4" s="9"/>
      <c r="B4" s="9"/>
      <c r="C4" s="9"/>
      <c r="D4" s="9"/>
      <c r="E4" s="9"/>
      <c r="F4" s="9"/>
      <c r="G4" s="9"/>
      <c r="H4" s="9"/>
      <c r="I4" s="9"/>
      <c r="K4" s="9"/>
      <c r="L4" s="9"/>
      <c r="M4" s="9"/>
      <c r="O4" s="453" t="s">
        <v>8</v>
      </c>
      <c r="P4" s="453"/>
    </row>
    <row r="5" spans="1:13" ht="12.75">
      <c r="A5" s="9"/>
      <c r="B5" s="9"/>
      <c r="C5" s="9"/>
      <c r="D5" s="9"/>
      <c r="E5" s="9"/>
      <c r="F5" s="9"/>
      <c r="G5" s="9"/>
      <c r="H5" s="9"/>
      <c r="I5" s="9"/>
      <c r="J5" s="9"/>
      <c r="K5" s="9"/>
      <c r="L5" s="9"/>
      <c r="M5" s="9"/>
    </row>
    <row r="6" spans="1:16" ht="18.75">
      <c r="A6" s="9"/>
      <c r="B6" s="419" t="s">
        <v>249</v>
      </c>
      <c r="C6" s="419"/>
      <c r="D6" s="419"/>
      <c r="E6" s="419"/>
      <c r="F6" s="419"/>
      <c r="G6" s="419"/>
      <c r="H6" s="419"/>
      <c r="I6" s="419"/>
      <c r="J6" s="419"/>
      <c r="K6" s="419"/>
      <c r="L6" s="419"/>
      <c r="M6" s="419"/>
      <c r="N6" s="419"/>
      <c r="O6" s="419"/>
      <c r="P6" s="419"/>
    </row>
    <row r="7" spans="1:15" ht="12.75">
      <c r="A7" s="9"/>
      <c r="B7" s="9"/>
      <c r="C7" s="151"/>
      <c r="D7" s="150"/>
      <c r="E7" s="150"/>
      <c r="F7" s="150"/>
      <c r="G7" s="150"/>
      <c r="H7" s="150"/>
      <c r="I7" s="150"/>
      <c r="J7" s="150"/>
      <c r="K7" s="150"/>
      <c r="L7" s="150"/>
      <c r="M7" s="150"/>
      <c r="N7" s="150"/>
      <c r="O7" s="150"/>
    </row>
    <row r="8" spans="1:15" ht="12.75">
      <c r="A8" s="9"/>
      <c r="B8" s="9"/>
      <c r="C8" s="454" t="s">
        <v>260</v>
      </c>
      <c r="D8" s="454"/>
      <c r="E8" s="454"/>
      <c r="F8" s="454"/>
      <c r="G8" s="454"/>
      <c r="H8" s="454"/>
      <c r="I8" s="454"/>
      <c r="J8" s="454"/>
      <c r="K8" s="454"/>
      <c r="L8" s="454"/>
      <c r="M8" s="454"/>
      <c r="N8" s="454"/>
      <c r="O8" s="454"/>
    </row>
    <row r="9" spans="1:15" ht="12.75">
      <c r="A9" s="9"/>
      <c r="B9" s="9"/>
      <c r="C9" s="454" t="s">
        <v>376</v>
      </c>
      <c r="D9" s="454"/>
      <c r="E9" s="454"/>
      <c r="F9" s="454"/>
      <c r="G9" s="454"/>
      <c r="H9" s="454"/>
      <c r="I9" s="454"/>
      <c r="J9" s="454"/>
      <c r="K9" s="454"/>
      <c r="L9" s="454"/>
      <c r="M9" s="454"/>
      <c r="N9" s="454"/>
      <c r="O9" s="454"/>
    </row>
    <row r="10" spans="1:15" ht="12.75">
      <c r="A10" s="9"/>
      <c r="B10" s="9"/>
      <c r="C10" s="152" t="s">
        <v>175</v>
      </c>
      <c r="D10" s="150"/>
      <c r="E10" s="150"/>
      <c r="F10" s="150"/>
      <c r="G10" s="150"/>
      <c r="H10" s="150"/>
      <c r="I10" s="150"/>
      <c r="J10" s="150"/>
      <c r="K10" s="150"/>
      <c r="L10" s="150"/>
      <c r="M10" s="150"/>
      <c r="N10" s="150"/>
      <c r="O10" s="150"/>
    </row>
    <row r="11" spans="1:16" ht="12.75">
      <c r="A11" s="9"/>
      <c r="B11" s="9"/>
      <c r="C11" s="443" t="s">
        <v>152</v>
      </c>
      <c r="D11" s="443" t="s">
        <v>176</v>
      </c>
      <c r="E11" s="443"/>
      <c r="F11" s="459" t="s">
        <v>270</v>
      </c>
      <c r="G11" s="460"/>
      <c r="H11" s="460"/>
      <c r="I11" s="460"/>
      <c r="J11" s="460"/>
      <c r="K11" s="460"/>
      <c r="L11" s="443" t="s">
        <v>177</v>
      </c>
      <c r="M11" s="443"/>
      <c r="N11" s="443" t="s">
        <v>178</v>
      </c>
      <c r="O11" s="443"/>
      <c r="P11" s="223"/>
    </row>
    <row r="12" spans="1:16" ht="12.75" customHeight="1">
      <c r="A12" s="9"/>
      <c r="B12" s="9"/>
      <c r="C12" s="447"/>
      <c r="D12" s="447"/>
      <c r="E12" s="447"/>
      <c r="F12" s="461"/>
      <c r="G12" s="461"/>
      <c r="H12" s="461"/>
      <c r="I12" s="461"/>
      <c r="J12" s="461"/>
      <c r="K12" s="461"/>
      <c r="L12" s="447"/>
      <c r="M12" s="447"/>
      <c r="N12" s="447"/>
      <c r="O12" s="447"/>
      <c r="P12" s="223"/>
    </row>
    <row r="13" spans="1:16" ht="20.25" customHeight="1">
      <c r="A13" s="9"/>
      <c r="B13" s="9"/>
      <c r="C13" s="447"/>
      <c r="D13" s="444"/>
      <c r="E13" s="444"/>
      <c r="F13" s="444" t="s">
        <v>150</v>
      </c>
      <c r="G13" s="444"/>
      <c r="H13" s="444"/>
      <c r="I13" s="444"/>
      <c r="J13" s="444"/>
      <c r="K13" s="444"/>
      <c r="L13" s="444"/>
      <c r="M13" s="444"/>
      <c r="N13" s="444"/>
      <c r="O13" s="444"/>
      <c r="P13" s="223"/>
    </row>
    <row r="14" spans="1:16" ht="48.75" customHeight="1">
      <c r="A14" s="9"/>
      <c r="B14" s="9"/>
      <c r="C14" s="444"/>
      <c r="D14" s="184" t="s">
        <v>179</v>
      </c>
      <c r="E14" s="184" t="s">
        <v>180</v>
      </c>
      <c r="F14" s="184" t="s">
        <v>181</v>
      </c>
      <c r="G14" s="184" t="s">
        <v>182</v>
      </c>
      <c r="H14" s="184" t="s">
        <v>183</v>
      </c>
      <c r="I14" s="184" t="s">
        <v>184</v>
      </c>
      <c r="J14" s="184" t="s">
        <v>185</v>
      </c>
      <c r="K14" s="184" t="s">
        <v>186</v>
      </c>
      <c r="L14" s="184" t="s">
        <v>187</v>
      </c>
      <c r="M14" s="184" t="s">
        <v>188</v>
      </c>
      <c r="N14" s="184" t="s">
        <v>88</v>
      </c>
      <c r="O14" s="184" t="s">
        <v>189</v>
      </c>
      <c r="P14" s="223"/>
    </row>
    <row r="15" spans="1:16" ht="12.75">
      <c r="A15" s="9"/>
      <c r="B15" s="9"/>
      <c r="C15" s="224"/>
      <c r="D15" s="224"/>
      <c r="E15" s="224"/>
      <c r="F15" s="224"/>
      <c r="G15" s="224"/>
      <c r="H15" s="224"/>
      <c r="I15" s="224"/>
      <c r="J15" s="224"/>
      <c r="K15" s="224"/>
      <c r="L15" s="224"/>
      <c r="M15" s="224"/>
      <c r="N15" s="224"/>
      <c r="O15" s="224"/>
      <c r="P15" s="223"/>
    </row>
    <row r="16" spans="1:16" ht="12.75">
      <c r="A16" s="9"/>
      <c r="B16" s="9"/>
      <c r="C16" s="222" t="s">
        <v>190</v>
      </c>
      <c r="D16" s="246">
        <v>2.9</v>
      </c>
      <c r="E16" s="246">
        <v>2.94</v>
      </c>
      <c r="F16" s="246">
        <v>31.17</v>
      </c>
      <c r="G16" s="246">
        <v>47.44</v>
      </c>
      <c r="H16" s="246">
        <v>16.27</v>
      </c>
      <c r="I16" s="246">
        <v>123.2</v>
      </c>
      <c r="J16" s="401">
        <v>-2.21</v>
      </c>
      <c r="K16" s="246">
        <v>50.62</v>
      </c>
      <c r="L16" s="401">
        <v>3.3</v>
      </c>
      <c r="M16" s="401">
        <v>2.44</v>
      </c>
      <c r="N16" s="401">
        <v>6.76</v>
      </c>
      <c r="O16" s="401">
        <v>2.07</v>
      </c>
      <c r="P16" s="223"/>
    </row>
    <row r="17" spans="1:16" ht="12.75">
      <c r="A17" s="9"/>
      <c r="B17" s="9"/>
      <c r="C17" s="153" t="s">
        <v>191</v>
      </c>
      <c r="D17" s="247">
        <v>2.98</v>
      </c>
      <c r="E17" s="247">
        <v>3.02</v>
      </c>
      <c r="F17" s="247">
        <v>32.29</v>
      </c>
      <c r="G17" s="247">
        <v>45.42</v>
      </c>
      <c r="H17" s="247">
        <v>13.12</v>
      </c>
      <c r="I17" s="247">
        <v>105.3</v>
      </c>
      <c r="J17" s="402">
        <v>-2.55</v>
      </c>
      <c r="K17" s="247">
        <v>55.14</v>
      </c>
      <c r="L17" s="402">
        <v>3.3</v>
      </c>
      <c r="M17" s="402">
        <v>2.62</v>
      </c>
      <c r="N17" s="402">
        <v>6.76</v>
      </c>
      <c r="O17" s="402">
        <v>2.06</v>
      </c>
      <c r="P17" s="223"/>
    </row>
    <row r="18" spans="1:16" ht="12.75">
      <c r="A18" s="9"/>
      <c r="B18" s="9"/>
      <c r="C18" s="222" t="s">
        <v>192</v>
      </c>
      <c r="D18" s="246">
        <v>3.01</v>
      </c>
      <c r="E18" s="246">
        <v>3.05</v>
      </c>
      <c r="F18" s="246">
        <v>32.79</v>
      </c>
      <c r="G18" s="246">
        <v>44.17</v>
      </c>
      <c r="H18" s="246">
        <v>11.38</v>
      </c>
      <c r="I18" s="246">
        <v>92.1</v>
      </c>
      <c r="J18" s="401">
        <v>-2.74</v>
      </c>
      <c r="K18" s="246">
        <v>57.91</v>
      </c>
      <c r="L18" s="401">
        <v>3.3</v>
      </c>
      <c r="M18" s="401">
        <v>2.72</v>
      </c>
      <c r="N18" s="401">
        <v>6.76</v>
      </c>
      <c r="O18" s="401">
        <v>2.05</v>
      </c>
      <c r="P18" s="223"/>
    </row>
    <row r="19" spans="1:16" ht="12.75">
      <c r="A19" s="9"/>
      <c r="B19" s="9"/>
      <c r="C19" s="153" t="s">
        <v>193</v>
      </c>
      <c r="D19" s="247">
        <v>2.82</v>
      </c>
      <c r="E19" s="247">
        <v>2.86</v>
      </c>
      <c r="F19" s="247">
        <v>30.96</v>
      </c>
      <c r="G19" s="247">
        <v>40.95</v>
      </c>
      <c r="H19" s="247">
        <v>9.99</v>
      </c>
      <c r="I19" s="247">
        <v>82.2</v>
      </c>
      <c r="J19" s="402">
        <v>-2.75</v>
      </c>
      <c r="K19" s="247">
        <v>60.04</v>
      </c>
      <c r="L19" s="402">
        <v>3.02</v>
      </c>
      <c r="M19" s="402">
        <v>2.56</v>
      </c>
      <c r="N19" s="402">
        <v>6.18</v>
      </c>
      <c r="O19" s="402">
        <v>1.88</v>
      </c>
      <c r="P19" s="223"/>
    </row>
    <row r="20" spans="1:16" ht="12.75">
      <c r="A20" s="9"/>
      <c r="B20" s="9"/>
      <c r="C20" s="222" t="s">
        <v>194</v>
      </c>
      <c r="D20" s="246">
        <v>2.36</v>
      </c>
      <c r="E20" s="246">
        <v>2.38</v>
      </c>
      <c r="F20" s="246">
        <v>25.98</v>
      </c>
      <c r="G20" s="246">
        <v>34.72</v>
      </c>
      <c r="H20" s="246">
        <v>8.75</v>
      </c>
      <c r="I20" s="246">
        <v>73</v>
      </c>
      <c r="J20" s="401">
        <v>-2.42</v>
      </c>
      <c r="K20" s="246">
        <v>61.72</v>
      </c>
      <c r="L20" s="401">
        <v>2.44</v>
      </c>
      <c r="M20" s="401">
        <v>2.13</v>
      </c>
      <c r="N20" s="401">
        <v>5</v>
      </c>
      <c r="O20" s="401">
        <v>1.54</v>
      </c>
      <c r="P20" s="223"/>
    </row>
    <row r="21" spans="1:16" ht="12.75">
      <c r="A21" s="9"/>
      <c r="B21" s="9"/>
      <c r="C21" s="153" t="s">
        <v>195</v>
      </c>
      <c r="D21" s="247">
        <v>2.28</v>
      </c>
      <c r="E21" s="247">
        <v>2.31</v>
      </c>
      <c r="F21" s="247">
        <v>24.89</v>
      </c>
      <c r="G21" s="247">
        <v>32.6</v>
      </c>
      <c r="H21" s="247">
        <v>7.71</v>
      </c>
      <c r="I21" s="247">
        <v>56.7</v>
      </c>
      <c r="J21" s="402">
        <v>-2.08</v>
      </c>
      <c r="K21" s="247">
        <v>63.95</v>
      </c>
      <c r="L21" s="402">
        <v>2.12</v>
      </c>
      <c r="M21" s="402">
        <v>1.89</v>
      </c>
      <c r="N21" s="402">
        <v>4.34</v>
      </c>
      <c r="O21" s="402">
        <v>1.37</v>
      </c>
      <c r="P21" s="223"/>
    </row>
    <row r="22" spans="1:16" ht="12.75">
      <c r="A22" s="9"/>
      <c r="B22" s="9"/>
      <c r="C22" s="222" t="s">
        <v>196</v>
      </c>
      <c r="D22" s="246">
        <v>2.14</v>
      </c>
      <c r="E22" s="246">
        <v>2.16</v>
      </c>
      <c r="F22" s="246">
        <v>23.2</v>
      </c>
      <c r="G22" s="246">
        <v>29.86</v>
      </c>
      <c r="H22" s="246">
        <v>6.66</v>
      </c>
      <c r="I22" s="246">
        <v>48.4</v>
      </c>
      <c r="J22" s="401">
        <v>-1.8</v>
      </c>
      <c r="K22" s="246">
        <v>66.84</v>
      </c>
      <c r="L22" s="401">
        <v>1.8</v>
      </c>
      <c r="M22" s="401">
        <v>1.65</v>
      </c>
      <c r="N22" s="401">
        <v>3.69</v>
      </c>
      <c r="O22" s="401">
        <v>1.19</v>
      </c>
      <c r="P22" s="223"/>
    </row>
    <row r="23" spans="1:16" ht="12.75">
      <c r="A23" s="9"/>
      <c r="B23" s="9"/>
      <c r="C23" s="153" t="s">
        <v>197</v>
      </c>
      <c r="D23" s="247">
        <v>1.99</v>
      </c>
      <c r="E23" s="247">
        <v>2.01</v>
      </c>
      <c r="F23" s="247">
        <v>21.36</v>
      </c>
      <c r="G23" s="247">
        <v>27.8</v>
      </c>
      <c r="H23" s="247">
        <v>6.43</v>
      </c>
      <c r="I23" s="247">
        <v>41.4</v>
      </c>
      <c r="J23" s="402">
        <v>-1.47</v>
      </c>
      <c r="K23" s="247">
        <v>67.87</v>
      </c>
      <c r="L23" s="402">
        <v>1.55</v>
      </c>
      <c r="M23" s="402">
        <v>1.44</v>
      </c>
      <c r="N23" s="402">
        <v>3.17</v>
      </c>
      <c r="O23" s="402">
        <v>1.07</v>
      </c>
      <c r="P23" s="223"/>
    </row>
    <row r="24" spans="1:16" ht="12.75">
      <c r="A24" s="9"/>
      <c r="B24" s="9"/>
      <c r="C24" s="222" t="s">
        <v>165</v>
      </c>
      <c r="D24" s="246">
        <v>1.95</v>
      </c>
      <c r="E24" s="246">
        <v>1.96</v>
      </c>
      <c r="F24" s="246">
        <v>20.54</v>
      </c>
      <c r="G24" s="246">
        <v>26.97</v>
      </c>
      <c r="H24" s="246">
        <v>6.43</v>
      </c>
      <c r="I24" s="246">
        <v>35.2</v>
      </c>
      <c r="J24" s="401">
        <v>-1.09</v>
      </c>
      <c r="K24" s="246">
        <v>68.55</v>
      </c>
      <c r="L24" s="401">
        <v>1.47</v>
      </c>
      <c r="M24" s="401">
        <v>1.39</v>
      </c>
      <c r="N24" s="401">
        <v>3.01</v>
      </c>
      <c r="O24" s="401">
        <v>1.01</v>
      </c>
      <c r="P24" s="223"/>
    </row>
    <row r="25" spans="3:16" ht="12.75">
      <c r="C25" s="153" t="s">
        <v>166</v>
      </c>
      <c r="D25" s="247">
        <v>1.87</v>
      </c>
      <c r="E25" s="247">
        <v>1.89</v>
      </c>
      <c r="F25" s="247">
        <v>18.7</v>
      </c>
      <c r="G25" s="247">
        <v>24.49</v>
      </c>
      <c r="H25" s="247">
        <v>5.79</v>
      </c>
      <c r="I25" s="247">
        <v>30</v>
      </c>
      <c r="J25" s="402">
        <v>0</v>
      </c>
      <c r="K25" s="247">
        <v>70.66</v>
      </c>
      <c r="L25" s="402">
        <v>1.37</v>
      </c>
      <c r="M25" s="402">
        <v>1.3</v>
      </c>
      <c r="N25" s="402">
        <v>2.8</v>
      </c>
      <c r="O25" s="402">
        <v>0.9</v>
      </c>
      <c r="P25" s="223"/>
    </row>
    <row r="26" spans="3:16" ht="12.75">
      <c r="C26" s="222" t="s">
        <v>167</v>
      </c>
      <c r="D26" s="246">
        <v>1.68</v>
      </c>
      <c r="E26" s="246">
        <v>1.7</v>
      </c>
      <c r="F26" s="246">
        <v>16.83</v>
      </c>
      <c r="G26" s="246">
        <v>22.31</v>
      </c>
      <c r="H26" s="246">
        <v>5.48</v>
      </c>
      <c r="I26" s="246">
        <v>25.6</v>
      </c>
      <c r="J26" s="401">
        <v>0</v>
      </c>
      <c r="K26" s="246">
        <v>72.17</v>
      </c>
      <c r="L26" s="401">
        <v>1.28</v>
      </c>
      <c r="M26" s="401">
        <v>1.22</v>
      </c>
      <c r="N26" s="401">
        <v>2.62</v>
      </c>
      <c r="O26" s="401">
        <v>0.82</v>
      </c>
      <c r="P26" s="223"/>
    </row>
    <row r="27" spans="3:16" ht="12.75">
      <c r="C27" s="501" t="s">
        <v>168</v>
      </c>
      <c r="D27" s="503">
        <v>1.19</v>
      </c>
      <c r="E27" s="503">
        <v>1.19</v>
      </c>
      <c r="F27" s="503">
        <v>14.11</v>
      </c>
      <c r="G27" s="503">
        <v>19.92</v>
      </c>
      <c r="H27" s="503">
        <v>5.81</v>
      </c>
      <c r="I27" s="503">
        <v>19.9</v>
      </c>
      <c r="J27" s="504">
        <v>-2.26</v>
      </c>
      <c r="K27" s="503">
        <v>74</v>
      </c>
      <c r="L27" s="504">
        <v>1.19</v>
      </c>
      <c r="M27" s="504">
        <v>1.15</v>
      </c>
      <c r="N27" s="504">
        <v>0</v>
      </c>
      <c r="O27" s="504">
        <v>0</v>
      </c>
      <c r="P27" s="223"/>
    </row>
    <row r="28" spans="3:16" ht="12.75">
      <c r="C28" s="233" t="s">
        <v>169</v>
      </c>
      <c r="D28" s="507">
        <v>1.15</v>
      </c>
      <c r="E28" s="507">
        <v>1.16</v>
      </c>
      <c r="F28" s="507">
        <v>13.09</v>
      </c>
      <c r="G28" s="507">
        <v>18.89</v>
      </c>
      <c r="H28" s="507">
        <v>5.8</v>
      </c>
      <c r="I28" s="507">
        <v>17.1</v>
      </c>
      <c r="J28" s="508">
        <v>-1.58</v>
      </c>
      <c r="K28" s="507">
        <v>75.22</v>
      </c>
      <c r="L28" s="508">
        <v>1.14</v>
      </c>
      <c r="M28" s="508">
        <v>1.11</v>
      </c>
      <c r="N28" s="508">
        <v>0</v>
      </c>
      <c r="O28" s="508">
        <v>0</v>
      </c>
      <c r="P28" s="223"/>
    </row>
    <row r="29" spans="3:16" ht="12.75">
      <c r="C29" s="497" t="s">
        <v>198</v>
      </c>
      <c r="D29" s="505">
        <v>1.09</v>
      </c>
      <c r="E29" s="505">
        <v>1.1</v>
      </c>
      <c r="F29" s="505">
        <v>12.08</v>
      </c>
      <c r="G29" s="505">
        <v>18.02</v>
      </c>
      <c r="H29" s="505">
        <v>5.94</v>
      </c>
      <c r="I29" s="505">
        <v>15.1</v>
      </c>
      <c r="J29" s="506">
        <v>-1.14</v>
      </c>
      <c r="K29" s="505">
        <v>76.15</v>
      </c>
      <c r="L29" s="506">
        <v>1.11</v>
      </c>
      <c r="M29" s="506">
        <v>1.09</v>
      </c>
      <c r="N29" s="506">
        <v>0</v>
      </c>
      <c r="O29" s="506">
        <v>0</v>
      </c>
      <c r="P29" s="223"/>
    </row>
    <row r="30" spans="3:15" ht="27" customHeight="1">
      <c r="C30" s="458" t="s">
        <v>375</v>
      </c>
      <c r="D30" s="458"/>
      <c r="E30" s="458"/>
      <c r="F30" s="458"/>
      <c r="G30" s="458"/>
      <c r="H30" s="458"/>
      <c r="I30" s="458"/>
      <c r="J30" s="458"/>
      <c r="K30" s="458"/>
      <c r="L30" s="458"/>
      <c r="M30" s="458"/>
      <c r="N30" s="458"/>
      <c r="O30" s="458"/>
    </row>
    <row r="31" spans="3:15" ht="12.75">
      <c r="C31" s="399"/>
      <c r="D31" s="180"/>
      <c r="E31" s="180"/>
      <c r="F31" s="180"/>
      <c r="G31" s="180"/>
      <c r="H31" s="180"/>
      <c r="I31" s="400"/>
      <c r="J31" s="180"/>
      <c r="K31" s="180"/>
      <c r="L31" s="180"/>
      <c r="M31" s="180"/>
      <c r="N31" s="180"/>
      <c r="O31" s="180"/>
    </row>
    <row r="32" spans="3:15" ht="12.75">
      <c r="C32" s="180"/>
      <c r="D32" s="180"/>
      <c r="E32" s="180"/>
      <c r="F32" s="180"/>
      <c r="G32" s="180"/>
      <c r="H32" s="180"/>
      <c r="I32" s="180"/>
      <c r="J32" s="180"/>
      <c r="K32" s="180"/>
      <c r="L32" s="180"/>
      <c r="M32" s="180"/>
      <c r="N32" s="180"/>
      <c r="O32" s="180"/>
    </row>
    <row r="33" spans="2:16" ht="15.75">
      <c r="B33" s="36" t="s">
        <v>23</v>
      </c>
      <c r="C33" s="36"/>
      <c r="D33" s="35"/>
      <c r="E33" s="34"/>
      <c r="F33" s="34"/>
      <c r="G33" s="34"/>
      <c r="H33" s="34"/>
      <c r="I33" s="34"/>
      <c r="J33" s="34"/>
      <c r="K33" s="34"/>
      <c r="L33" s="34"/>
      <c r="M33" s="34"/>
      <c r="N33" s="179"/>
      <c r="O33" s="34" t="s">
        <v>21</v>
      </c>
      <c r="P33" s="179"/>
    </row>
  </sheetData>
  <mergeCells count="12">
    <mergeCell ref="C30:O30"/>
    <mergeCell ref="F11:K12"/>
    <mergeCell ref="F13:K13"/>
    <mergeCell ref="N2:P2"/>
    <mergeCell ref="O4:P4"/>
    <mergeCell ref="C9:O9"/>
    <mergeCell ref="C11:C14"/>
    <mergeCell ref="B6:P6"/>
    <mergeCell ref="C8:O8"/>
    <mergeCell ref="L11:M13"/>
    <mergeCell ref="N11:O13"/>
    <mergeCell ref="D11:E13"/>
  </mergeCells>
  <hyperlinks>
    <hyperlink ref="O4" location="Índice!B23" display="Volver al índice"/>
    <hyperlink ref="O4:P4" location="Índice!B6" display="Volver al índice"/>
  </hyperlinks>
  <printOptions horizontalCentered="1" verticalCentered="1"/>
  <pageMargins left="0.75" right="0.75" top="1" bottom="1" header="0.5" footer="0.5"/>
  <pageSetup fitToHeight="1" fitToWidth="1" horizontalDpi="600" verticalDpi="600" orientation="landscape" scale="63"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N58"/>
  <sheetViews>
    <sheetView showGridLines="0" view="pageBreakPreview" zoomScale="80" zoomScaleSheetLayoutView="80" workbookViewId="0" topLeftCell="A1">
      <selection activeCell="M4" sqref="M4:N4"/>
    </sheetView>
  </sheetViews>
  <sheetFormatPr defaultColWidth="9.140625" defaultRowHeight="12.75"/>
  <cols>
    <col min="1" max="1" width="9.140625" style="51" customWidth="1"/>
    <col min="2" max="2" width="5.7109375" style="51" customWidth="1"/>
    <col min="3" max="3" width="14.8515625" style="51" customWidth="1"/>
    <col min="4" max="4" width="3.140625" style="51" customWidth="1"/>
    <col min="5" max="5" width="13.7109375" style="51" customWidth="1"/>
    <col min="6" max="6" width="3.140625" style="51" customWidth="1"/>
    <col min="7" max="7" width="13.140625" style="51" customWidth="1"/>
    <col min="8" max="8" width="3.140625" style="51" customWidth="1"/>
    <col min="9" max="9" width="14.00390625" style="51" customWidth="1"/>
    <col min="10" max="10" width="3.140625" style="51" customWidth="1"/>
    <col min="11" max="11" width="14.28125" style="51" customWidth="1"/>
    <col min="12" max="12" width="3.140625" style="51" customWidth="1"/>
    <col min="13" max="13" width="13.421875" style="51" customWidth="1"/>
    <col min="14" max="14" width="5.7109375" style="51" customWidth="1"/>
    <col min="15" max="16384" width="9.140625" style="51" customWidth="1"/>
  </cols>
  <sheetData>
    <row r="1" spans="1:13" ht="12.75">
      <c r="A1" s="192"/>
      <c r="B1" s="192"/>
      <c r="C1" s="192"/>
      <c r="D1" s="192"/>
      <c r="E1" s="192"/>
      <c r="F1" s="192"/>
      <c r="G1" s="192"/>
      <c r="H1" s="192"/>
      <c r="I1" s="192"/>
      <c r="J1" s="192"/>
      <c r="K1" s="192"/>
      <c r="L1" s="192"/>
      <c r="M1" s="192"/>
    </row>
    <row r="2" spans="1:14" ht="12.75">
      <c r="A2" s="192"/>
      <c r="B2" s="192"/>
      <c r="C2" s="192"/>
      <c r="E2" s="3"/>
      <c r="F2" s="3"/>
      <c r="G2" s="3"/>
      <c r="H2" s="3"/>
      <c r="I2" s="3"/>
      <c r="J2" s="3"/>
      <c r="K2" s="377" t="s">
        <v>22</v>
      </c>
      <c r="L2" s="377"/>
      <c r="M2" s="377"/>
      <c r="N2" s="377"/>
    </row>
    <row r="3" spans="1:13" ht="12.75">
      <c r="A3" s="192"/>
      <c r="B3" s="192"/>
      <c r="C3" s="192"/>
      <c r="D3" s="192"/>
      <c r="E3" s="192"/>
      <c r="F3" s="192"/>
      <c r="G3" s="192"/>
      <c r="H3" s="192"/>
      <c r="I3" s="192"/>
      <c r="J3" s="192"/>
      <c r="K3" s="192"/>
      <c r="L3" s="192"/>
      <c r="M3" s="192"/>
    </row>
    <row r="4" spans="1:14" ht="12.75">
      <c r="A4" s="192"/>
      <c r="B4" s="192"/>
      <c r="C4" s="192"/>
      <c r="D4" s="192"/>
      <c r="E4" s="192"/>
      <c r="F4" s="192"/>
      <c r="G4" s="192"/>
      <c r="H4" s="192"/>
      <c r="L4" s="166"/>
      <c r="M4" s="453" t="s">
        <v>8</v>
      </c>
      <c r="N4" s="453"/>
    </row>
    <row r="5" spans="1:13" ht="12.75">
      <c r="A5" s="192"/>
      <c r="B5" s="192"/>
      <c r="C5" s="192"/>
      <c r="D5" s="192"/>
      <c r="E5" s="192"/>
      <c r="F5" s="192"/>
      <c r="G5" s="192"/>
      <c r="H5" s="192"/>
      <c r="I5" s="192"/>
      <c r="J5" s="192"/>
      <c r="K5" s="192"/>
      <c r="L5" s="192"/>
      <c r="M5" s="192"/>
    </row>
    <row r="6" spans="1:14" ht="18.75">
      <c r="A6" s="192"/>
      <c r="B6" s="419" t="s">
        <v>250</v>
      </c>
      <c r="C6" s="419"/>
      <c r="D6" s="419"/>
      <c r="E6" s="419"/>
      <c r="F6" s="419"/>
      <c r="G6" s="419"/>
      <c r="H6" s="419"/>
      <c r="I6" s="419"/>
      <c r="J6" s="419"/>
      <c r="K6" s="419"/>
      <c r="L6" s="419"/>
      <c r="M6" s="419"/>
      <c r="N6" s="419"/>
    </row>
    <row r="7" spans="1:13" ht="12.75">
      <c r="A7" s="192"/>
      <c r="B7" s="192"/>
      <c r="C7" s="154"/>
      <c r="D7" s="68"/>
      <c r="E7" s="155"/>
      <c r="F7" s="155"/>
      <c r="G7" s="116"/>
      <c r="H7" s="116"/>
      <c r="I7" s="116"/>
      <c r="J7" s="116"/>
      <c r="K7" s="116"/>
      <c r="L7" s="116"/>
      <c r="M7" s="68"/>
    </row>
    <row r="8" spans="1:13" ht="12.75">
      <c r="A8" s="192"/>
      <c r="B8" s="192"/>
      <c r="C8" s="465" t="s">
        <v>269</v>
      </c>
      <c r="D8" s="465"/>
      <c r="E8" s="465"/>
      <c r="F8" s="465"/>
      <c r="G8" s="465"/>
      <c r="H8" s="465"/>
      <c r="I8" s="465"/>
      <c r="J8" s="465"/>
      <c r="K8" s="465"/>
      <c r="L8" s="465"/>
      <c r="M8" s="465"/>
    </row>
    <row r="9" spans="1:13" ht="13.5" thickBot="1">
      <c r="A9" s="192"/>
      <c r="B9" s="192"/>
      <c r="C9" s="205"/>
      <c r="D9" s="205"/>
      <c r="E9" s="205"/>
      <c r="F9" s="205"/>
      <c r="G9" s="205"/>
      <c r="H9" s="205"/>
      <c r="I9" s="205"/>
      <c r="J9" s="205"/>
      <c r="K9" s="205"/>
      <c r="L9" s="205"/>
      <c r="M9" s="205"/>
    </row>
    <row r="10" spans="1:13" ht="12.75">
      <c r="A10" s="192"/>
      <c r="B10" s="192"/>
      <c r="C10" s="407" t="s">
        <v>333</v>
      </c>
      <c r="D10" s="183"/>
      <c r="E10" s="407" t="s">
        <v>263</v>
      </c>
      <c r="F10" s="182"/>
      <c r="G10" s="407" t="s">
        <v>199</v>
      </c>
      <c r="H10" s="182"/>
      <c r="I10" s="407" t="s">
        <v>200</v>
      </c>
      <c r="J10" s="182"/>
      <c r="K10" s="407" t="s">
        <v>201</v>
      </c>
      <c r="L10" s="182"/>
      <c r="M10" s="407" t="s">
        <v>331</v>
      </c>
    </row>
    <row r="11" spans="1:13" ht="12.75">
      <c r="A11" s="192"/>
      <c r="B11" s="192"/>
      <c r="C11" s="463"/>
      <c r="D11" s="193"/>
      <c r="E11" s="463"/>
      <c r="F11" s="194"/>
      <c r="G11" s="463"/>
      <c r="H11" s="194"/>
      <c r="I11" s="463"/>
      <c r="J11" s="194"/>
      <c r="K11" s="463"/>
      <c r="L11" s="194"/>
      <c r="M11" s="463"/>
    </row>
    <row r="12" spans="1:13" ht="12.75">
      <c r="A12" s="192"/>
      <c r="B12" s="192"/>
      <c r="C12" s="463"/>
      <c r="D12" s="193"/>
      <c r="E12" s="463"/>
      <c r="F12" s="194"/>
      <c r="G12" s="463"/>
      <c r="H12" s="194"/>
      <c r="I12" s="463"/>
      <c r="J12" s="194"/>
      <c r="K12" s="463"/>
      <c r="L12" s="194"/>
      <c r="M12" s="463"/>
    </row>
    <row r="13" spans="1:13" ht="72.75" customHeight="1" thickBot="1">
      <c r="A13" s="192"/>
      <c r="B13" s="192"/>
      <c r="C13" s="464"/>
      <c r="D13" s="195"/>
      <c r="E13" s="464"/>
      <c r="F13" s="196"/>
      <c r="G13" s="464"/>
      <c r="H13" s="196"/>
      <c r="I13" s="464"/>
      <c r="J13" s="196"/>
      <c r="K13" s="464"/>
      <c r="L13" s="196"/>
      <c r="M13" s="464"/>
    </row>
    <row r="14" spans="1:13" ht="12.75">
      <c r="A14" s="192"/>
      <c r="B14" s="192"/>
      <c r="C14" s="197"/>
      <c r="D14" s="197"/>
      <c r="E14" s="198"/>
      <c r="F14" s="198"/>
      <c r="G14" s="198"/>
      <c r="H14" s="198"/>
      <c r="I14" s="198"/>
      <c r="J14" s="198"/>
      <c r="K14" s="198"/>
      <c r="L14" s="198"/>
      <c r="M14" s="198"/>
    </row>
    <row r="15" spans="1:13" ht="12.75">
      <c r="A15" s="192"/>
      <c r="B15" s="192"/>
      <c r="C15" s="199" t="s">
        <v>202</v>
      </c>
      <c r="D15" s="199"/>
      <c r="E15" s="199"/>
      <c r="F15" s="200"/>
      <c r="G15" s="200"/>
      <c r="H15" s="200"/>
      <c r="I15" s="200"/>
      <c r="J15" s="200"/>
      <c r="K15" s="200"/>
      <c r="L15" s="200"/>
      <c r="M15" s="201"/>
    </row>
    <row r="16" spans="1:13" ht="12.75">
      <c r="A16" s="192"/>
      <c r="B16" s="192"/>
      <c r="C16" s="76"/>
      <c r="D16" s="76"/>
      <c r="E16" s="202"/>
      <c r="F16" s="202"/>
      <c r="G16" s="202"/>
      <c r="H16" s="202"/>
      <c r="I16" s="202"/>
      <c r="J16" s="202"/>
      <c r="K16" s="202"/>
      <c r="L16" s="202"/>
      <c r="M16" s="76"/>
    </row>
    <row r="17" spans="1:13" ht="12.75">
      <c r="A17" s="192"/>
      <c r="B17" s="192"/>
      <c r="C17" s="201" t="s">
        <v>203</v>
      </c>
      <c r="D17" s="201"/>
      <c r="E17" s="203">
        <v>8.1</v>
      </c>
      <c r="F17" s="203"/>
      <c r="G17" s="203">
        <v>29.3</v>
      </c>
      <c r="H17" s="203"/>
      <c r="I17" s="203">
        <v>-2.3</v>
      </c>
      <c r="J17" s="203"/>
      <c r="K17" s="203">
        <v>1.89</v>
      </c>
      <c r="L17" s="203"/>
      <c r="M17" s="200">
        <v>2.9</v>
      </c>
    </row>
    <row r="18" spans="1:13" ht="12.75">
      <c r="A18" s="192"/>
      <c r="B18" s="192"/>
      <c r="C18" s="76" t="s">
        <v>204</v>
      </c>
      <c r="D18" s="76"/>
      <c r="E18" s="204">
        <v>14.6</v>
      </c>
      <c r="F18" s="204"/>
      <c r="G18" s="204">
        <v>30.3</v>
      </c>
      <c r="H18" s="204"/>
      <c r="I18" s="204">
        <v>-2.5</v>
      </c>
      <c r="J18" s="204"/>
      <c r="K18" s="204">
        <v>1.32</v>
      </c>
      <c r="L18" s="204"/>
      <c r="M18" s="71">
        <v>1.8</v>
      </c>
    </row>
    <row r="19" spans="1:13" ht="12.75">
      <c r="A19" s="192"/>
      <c r="B19" s="192"/>
      <c r="C19" s="201"/>
      <c r="D19" s="201"/>
      <c r="E19" s="203"/>
      <c r="F19" s="203"/>
      <c r="G19" s="203"/>
      <c r="H19" s="203"/>
      <c r="I19" s="203"/>
      <c r="J19" s="203"/>
      <c r="K19" s="203"/>
      <c r="L19" s="203"/>
      <c r="M19" s="200"/>
    </row>
    <row r="20" spans="1:13" ht="12.75">
      <c r="A20" s="192"/>
      <c r="B20" s="192"/>
      <c r="C20" s="75" t="s">
        <v>205</v>
      </c>
      <c r="D20" s="75"/>
      <c r="E20" s="205"/>
      <c r="F20" s="206"/>
      <c r="G20" s="206"/>
      <c r="H20" s="206"/>
      <c r="I20" s="206"/>
      <c r="J20" s="204"/>
      <c r="K20" s="204"/>
      <c r="L20" s="206"/>
      <c r="M20" s="206"/>
    </row>
    <row r="21" spans="1:13" ht="12.75">
      <c r="A21" s="192"/>
      <c r="B21" s="192"/>
      <c r="C21" s="201"/>
      <c r="D21" s="201"/>
      <c r="E21" s="203"/>
      <c r="F21" s="203"/>
      <c r="G21" s="203"/>
      <c r="H21" s="203"/>
      <c r="I21" s="203"/>
      <c r="J21" s="203"/>
      <c r="K21" s="203"/>
      <c r="L21" s="203"/>
      <c r="M21" s="200"/>
    </row>
    <row r="22" spans="1:13" ht="12.75">
      <c r="A22" s="192"/>
      <c r="B22" s="192"/>
      <c r="C22" s="76" t="s">
        <v>206</v>
      </c>
      <c r="D22" s="76"/>
      <c r="E22" s="204">
        <v>5.3</v>
      </c>
      <c r="F22" s="204"/>
      <c r="G22" s="204">
        <v>27</v>
      </c>
      <c r="H22" s="204"/>
      <c r="I22" s="204">
        <v>-1.2</v>
      </c>
      <c r="J22" s="204"/>
      <c r="K22" s="204">
        <v>2.06</v>
      </c>
      <c r="L22" s="204"/>
      <c r="M22" s="71">
        <v>3.7</v>
      </c>
    </row>
    <row r="23" spans="1:13" ht="12.75">
      <c r="A23" s="192"/>
      <c r="B23" s="192"/>
      <c r="C23" s="201" t="s">
        <v>207</v>
      </c>
      <c r="D23" s="201"/>
      <c r="E23" s="203">
        <v>6.7</v>
      </c>
      <c r="F23" s="203"/>
      <c r="G23" s="203">
        <v>34.2</v>
      </c>
      <c r="H23" s="203"/>
      <c r="I23" s="203">
        <v>-2</v>
      </c>
      <c r="J23" s="203"/>
      <c r="K23" s="203">
        <v>2.55</v>
      </c>
      <c r="L23" s="203"/>
      <c r="M23" s="200">
        <v>3.5</v>
      </c>
    </row>
    <row r="24" spans="1:13" ht="12.75">
      <c r="A24" s="192"/>
      <c r="B24" s="192"/>
      <c r="C24" s="76" t="s">
        <v>208</v>
      </c>
      <c r="D24" s="76"/>
      <c r="E24" s="204">
        <v>5.7</v>
      </c>
      <c r="F24" s="204"/>
      <c r="G24" s="204">
        <v>30</v>
      </c>
      <c r="H24" s="204"/>
      <c r="I24" s="204">
        <v>-0.9</v>
      </c>
      <c r="J24" s="204"/>
      <c r="K24" s="204">
        <v>2.34</v>
      </c>
      <c r="L24" s="204"/>
      <c r="M24" s="71">
        <v>3</v>
      </c>
    </row>
    <row r="25" spans="1:13" ht="12.75">
      <c r="A25" s="192"/>
      <c r="B25" s="192"/>
      <c r="C25" s="201" t="s">
        <v>209</v>
      </c>
      <c r="D25" s="201"/>
      <c r="E25" s="203">
        <v>5.1</v>
      </c>
      <c r="F25" s="203"/>
      <c r="G25" s="203">
        <v>31.6</v>
      </c>
      <c r="H25" s="203"/>
      <c r="I25" s="203">
        <v>-2.2</v>
      </c>
      <c r="J25" s="203"/>
      <c r="K25" s="203">
        <v>2.43</v>
      </c>
      <c r="L25" s="203"/>
      <c r="M25" s="200">
        <v>3.5</v>
      </c>
    </row>
    <row r="26" spans="3:13" ht="12.75">
      <c r="C26" s="76" t="s">
        <v>210</v>
      </c>
      <c r="D26" s="76"/>
      <c r="E26" s="204">
        <v>5.1</v>
      </c>
      <c r="F26" s="204"/>
      <c r="G26" s="204">
        <v>29.6</v>
      </c>
      <c r="H26" s="204"/>
      <c r="I26" s="204">
        <v>-0.9</v>
      </c>
      <c r="J26" s="204"/>
      <c r="K26" s="204">
        <v>2.37</v>
      </c>
      <c r="L26" s="204"/>
      <c r="M26" s="202">
        <v>3</v>
      </c>
    </row>
    <row r="27" spans="3:13" ht="12.75">
      <c r="C27" s="201"/>
      <c r="D27" s="201"/>
      <c r="E27" s="203"/>
      <c r="F27" s="203"/>
      <c r="G27" s="203"/>
      <c r="H27" s="203"/>
      <c r="I27" s="203"/>
      <c r="J27" s="203"/>
      <c r="K27" s="203"/>
      <c r="L27" s="203"/>
      <c r="M27" s="200"/>
    </row>
    <row r="28" spans="3:13" ht="12.75">
      <c r="C28" s="75" t="s">
        <v>211</v>
      </c>
      <c r="D28" s="75"/>
      <c r="E28" s="205"/>
      <c r="F28" s="206"/>
      <c r="G28" s="206"/>
      <c r="H28" s="206"/>
      <c r="I28" s="206"/>
      <c r="J28" s="204"/>
      <c r="K28" s="204"/>
      <c r="L28" s="206"/>
      <c r="M28" s="71"/>
    </row>
    <row r="29" spans="3:13" ht="12.75">
      <c r="C29" s="199"/>
      <c r="D29" s="199"/>
      <c r="E29" s="207"/>
      <c r="F29" s="207"/>
      <c r="G29" s="207"/>
      <c r="H29" s="207"/>
      <c r="I29" s="203"/>
      <c r="J29" s="203"/>
      <c r="K29" s="207"/>
      <c r="L29" s="207"/>
      <c r="M29" s="200"/>
    </row>
    <row r="30" spans="3:13" ht="12.75">
      <c r="C30" s="76" t="s">
        <v>212</v>
      </c>
      <c r="D30" s="76"/>
      <c r="E30" s="204">
        <v>5.9</v>
      </c>
      <c r="F30" s="204"/>
      <c r="G30" s="204">
        <v>25.1</v>
      </c>
      <c r="H30" s="204"/>
      <c r="I30" s="204">
        <v>-3.7</v>
      </c>
      <c r="J30" s="204"/>
      <c r="K30" s="204">
        <v>1.55</v>
      </c>
      <c r="L30" s="204"/>
      <c r="M30" s="71">
        <v>2.9</v>
      </c>
    </row>
    <row r="31" spans="3:13" ht="12.75">
      <c r="C31" s="201" t="s">
        <v>213</v>
      </c>
      <c r="D31" s="201"/>
      <c r="E31" s="203">
        <v>4.6</v>
      </c>
      <c r="F31" s="203"/>
      <c r="G31" s="203">
        <v>22.8</v>
      </c>
      <c r="H31" s="203"/>
      <c r="I31" s="203">
        <v>0.3</v>
      </c>
      <c r="J31" s="203"/>
      <c r="K31" s="203">
        <v>1.86</v>
      </c>
      <c r="L31" s="203"/>
      <c r="M31" s="200">
        <v>2.6</v>
      </c>
    </row>
    <row r="32" spans="3:13" ht="12.75">
      <c r="C32" s="76" t="s">
        <v>214</v>
      </c>
      <c r="D32" s="76"/>
      <c r="E32" s="204">
        <v>5.8</v>
      </c>
      <c r="F32" s="204"/>
      <c r="G32" s="204">
        <v>23</v>
      </c>
      <c r="H32" s="204"/>
      <c r="I32" s="204">
        <v>-2.3</v>
      </c>
      <c r="J32" s="204"/>
      <c r="K32" s="204">
        <v>1.49</v>
      </c>
      <c r="L32" s="204"/>
      <c r="M32" s="71">
        <v>2.4</v>
      </c>
    </row>
    <row r="33" spans="3:13" ht="12.75">
      <c r="C33" s="201" t="s">
        <v>264</v>
      </c>
      <c r="D33" s="201"/>
      <c r="E33" s="203">
        <v>6.1</v>
      </c>
      <c r="F33" s="203"/>
      <c r="G33" s="203">
        <v>23.3</v>
      </c>
      <c r="H33" s="203"/>
      <c r="I33" s="203">
        <v>-2.2</v>
      </c>
      <c r="J33" s="203"/>
      <c r="K33" s="203">
        <v>1.5</v>
      </c>
      <c r="L33" s="203"/>
      <c r="M33" s="200">
        <v>2</v>
      </c>
    </row>
    <row r="34" spans="3:13" ht="12.75">
      <c r="C34" s="76" t="s">
        <v>265</v>
      </c>
      <c r="D34" s="76"/>
      <c r="E34" s="204">
        <v>5</v>
      </c>
      <c r="F34" s="204"/>
      <c r="G34" s="204">
        <v>22.4</v>
      </c>
      <c r="H34" s="204"/>
      <c r="I34" s="204">
        <v>-2.9</v>
      </c>
      <c r="J34" s="204"/>
      <c r="K34" s="204">
        <v>1.45</v>
      </c>
      <c r="L34" s="204"/>
      <c r="M34" s="202">
        <v>2</v>
      </c>
    </row>
    <row r="35" spans="3:13" ht="12.75">
      <c r="C35" s="201" t="s">
        <v>266</v>
      </c>
      <c r="D35" s="201"/>
      <c r="E35" s="203">
        <v>7</v>
      </c>
      <c r="F35" s="203"/>
      <c r="G35" s="203">
        <v>23.3</v>
      </c>
      <c r="H35" s="203"/>
      <c r="I35" s="203">
        <v>-1.4</v>
      </c>
      <c r="J35" s="203"/>
      <c r="K35" s="203">
        <v>1.49</v>
      </c>
      <c r="L35" s="203"/>
      <c r="M35" s="200">
        <v>1.9</v>
      </c>
    </row>
    <row r="36" spans="3:13" ht="12.75">
      <c r="C36" s="76" t="s">
        <v>215</v>
      </c>
      <c r="D36" s="76"/>
      <c r="E36" s="204">
        <v>3.9</v>
      </c>
      <c r="F36" s="204"/>
      <c r="G36" s="204">
        <v>19.1</v>
      </c>
      <c r="H36" s="204"/>
      <c r="I36" s="204">
        <v>4.1</v>
      </c>
      <c r="J36" s="204"/>
      <c r="K36" s="204">
        <v>1.93</v>
      </c>
      <c r="L36" s="204"/>
      <c r="M36" s="202">
        <v>2.5</v>
      </c>
    </row>
    <row r="37" spans="3:13" ht="12.75">
      <c r="C37" s="201" t="s">
        <v>216</v>
      </c>
      <c r="D37" s="201"/>
      <c r="E37" s="203">
        <v>5.4</v>
      </c>
      <c r="F37" s="203"/>
      <c r="G37" s="203">
        <v>22.2</v>
      </c>
      <c r="H37" s="203"/>
      <c r="I37" s="203">
        <v>-0.9</v>
      </c>
      <c r="J37" s="203"/>
      <c r="K37" s="203">
        <v>1.59</v>
      </c>
      <c r="L37" s="203"/>
      <c r="M37" s="200">
        <v>1.9</v>
      </c>
    </row>
    <row r="38" spans="3:13" ht="12.75">
      <c r="C38" s="76" t="s">
        <v>217</v>
      </c>
      <c r="D38" s="76"/>
      <c r="E38" s="204">
        <v>5</v>
      </c>
      <c r="F38" s="204"/>
      <c r="G38" s="204">
        <v>22.7</v>
      </c>
      <c r="H38" s="204"/>
      <c r="I38" s="204">
        <v>0.7</v>
      </c>
      <c r="J38" s="204"/>
      <c r="K38" s="204">
        <v>1.84</v>
      </c>
      <c r="L38" s="204"/>
      <c r="M38" s="202">
        <v>2.7</v>
      </c>
    </row>
    <row r="39" spans="3:13" ht="12.75">
      <c r="C39" s="201" t="s">
        <v>267</v>
      </c>
      <c r="D39" s="201"/>
      <c r="E39" s="203">
        <v>7.1</v>
      </c>
      <c r="F39" s="203"/>
      <c r="G39" s="203">
        <v>19.7</v>
      </c>
      <c r="H39" s="203"/>
      <c r="I39" s="203">
        <v>-0.1</v>
      </c>
      <c r="J39" s="203"/>
      <c r="K39" s="203">
        <v>1.24</v>
      </c>
      <c r="L39" s="203"/>
      <c r="M39" s="200">
        <v>1.8</v>
      </c>
    </row>
    <row r="40" spans="3:13" ht="12.75">
      <c r="C40" s="76"/>
      <c r="D40" s="76"/>
      <c r="E40" s="202"/>
      <c r="F40" s="202"/>
      <c r="G40" s="202"/>
      <c r="H40" s="202"/>
      <c r="I40" s="202"/>
      <c r="J40" s="202"/>
      <c r="K40" s="202"/>
      <c r="L40" s="202"/>
      <c r="M40" s="71"/>
    </row>
    <row r="41" spans="3:13" ht="12.75">
      <c r="C41" s="199" t="s">
        <v>218</v>
      </c>
      <c r="D41" s="199"/>
      <c r="E41" s="98"/>
      <c r="F41" s="98"/>
      <c r="G41" s="98"/>
      <c r="H41" s="98"/>
      <c r="I41" s="98"/>
      <c r="J41" s="200"/>
      <c r="K41" s="200"/>
      <c r="L41" s="98"/>
      <c r="M41" s="200"/>
    </row>
    <row r="42" spans="3:13" ht="12.75">
      <c r="C42" s="75"/>
      <c r="D42" s="75"/>
      <c r="E42" s="115"/>
      <c r="F42" s="115"/>
      <c r="G42" s="115"/>
      <c r="H42" s="115"/>
      <c r="I42" s="202"/>
      <c r="J42" s="202"/>
      <c r="K42" s="115"/>
      <c r="L42" s="115"/>
      <c r="M42" s="71"/>
    </row>
    <row r="43" spans="3:13" ht="12.75">
      <c r="C43" s="201" t="s">
        <v>219</v>
      </c>
      <c r="D43" s="201"/>
      <c r="E43" s="203">
        <v>8.2</v>
      </c>
      <c r="F43" s="203"/>
      <c r="G43" s="203">
        <v>19.4</v>
      </c>
      <c r="H43" s="203"/>
      <c r="I43" s="203">
        <v>0</v>
      </c>
      <c r="J43" s="203"/>
      <c r="K43" s="203">
        <v>1.13</v>
      </c>
      <c r="L43" s="203"/>
      <c r="M43" s="200">
        <v>1.3</v>
      </c>
    </row>
    <row r="44" spans="3:13" ht="12.75">
      <c r="C44" s="76" t="s">
        <v>220</v>
      </c>
      <c r="D44" s="76"/>
      <c r="E44" s="202">
        <v>5.7</v>
      </c>
      <c r="F44" s="202"/>
      <c r="G44" s="202">
        <v>20.5</v>
      </c>
      <c r="H44" s="202"/>
      <c r="I44" s="202">
        <v>-5.6</v>
      </c>
      <c r="J44" s="202"/>
      <c r="K44" s="202">
        <v>0.92</v>
      </c>
      <c r="L44" s="202"/>
      <c r="M44" s="71">
        <v>2</v>
      </c>
    </row>
    <row r="45" spans="3:13" ht="12.75">
      <c r="C45" s="201" t="s">
        <v>221</v>
      </c>
      <c r="D45" s="201"/>
      <c r="E45" s="200">
        <v>7.3</v>
      </c>
      <c r="F45" s="200"/>
      <c r="G45" s="200">
        <v>13.7</v>
      </c>
      <c r="H45" s="200"/>
      <c r="I45" s="200">
        <v>-2.9</v>
      </c>
      <c r="J45" s="200"/>
      <c r="K45" s="200">
        <v>0.34</v>
      </c>
      <c r="L45" s="200"/>
      <c r="M45" s="200">
        <v>1.4</v>
      </c>
    </row>
    <row r="46" spans="3:13" ht="12.75">
      <c r="C46" s="76" t="s">
        <v>222</v>
      </c>
      <c r="D46" s="76"/>
      <c r="E46" s="202">
        <v>5.6</v>
      </c>
      <c r="F46" s="202"/>
      <c r="G46" s="202">
        <v>18.2</v>
      </c>
      <c r="H46" s="202"/>
      <c r="I46" s="202">
        <v>-0.3</v>
      </c>
      <c r="J46" s="202"/>
      <c r="K46" s="202">
        <v>1.23</v>
      </c>
      <c r="L46" s="202"/>
      <c r="M46" s="202">
        <v>1.2</v>
      </c>
    </row>
    <row r="47" spans="3:13" ht="12.75">
      <c r="C47" s="201" t="s">
        <v>223</v>
      </c>
      <c r="D47" s="201"/>
      <c r="E47" s="200">
        <v>7.6</v>
      </c>
      <c r="F47" s="200"/>
      <c r="G47" s="200">
        <v>19</v>
      </c>
      <c r="H47" s="200"/>
      <c r="I47" s="200">
        <v>0.3</v>
      </c>
      <c r="J47" s="200"/>
      <c r="K47" s="200">
        <v>1.17</v>
      </c>
      <c r="L47" s="200"/>
      <c r="M47" s="200">
        <v>1.9</v>
      </c>
    </row>
    <row r="48" spans="3:13" ht="12.75">
      <c r="C48" s="76" t="s">
        <v>224</v>
      </c>
      <c r="D48" s="76"/>
      <c r="E48" s="202">
        <v>9.1</v>
      </c>
      <c r="F48" s="202"/>
      <c r="G48" s="202">
        <v>16.8</v>
      </c>
      <c r="H48" s="202"/>
      <c r="I48" s="202">
        <v>-0.6</v>
      </c>
      <c r="J48" s="202"/>
      <c r="K48" s="202">
        <v>0.72</v>
      </c>
      <c r="L48" s="202"/>
      <c r="M48" s="202">
        <v>1.1</v>
      </c>
    </row>
    <row r="49" spans="3:13" ht="12.75">
      <c r="C49" s="201" t="s">
        <v>225</v>
      </c>
      <c r="D49" s="201"/>
      <c r="E49" s="200">
        <v>7.8</v>
      </c>
      <c r="F49" s="200"/>
      <c r="G49" s="200">
        <v>12.2</v>
      </c>
      <c r="H49" s="200"/>
      <c r="I49" s="200">
        <v>-0.9</v>
      </c>
      <c r="J49" s="200"/>
      <c r="K49" s="200">
        <v>0.35</v>
      </c>
      <c r="L49" s="200"/>
      <c r="M49" s="200">
        <v>0.3</v>
      </c>
    </row>
    <row r="50" spans="3:13" ht="13.5" thickBot="1">
      <c r="C50" s="65"/>
      <c r="D50" s="65"/>
      <c r="E50" s="156"/>
      <c r="F50" s="156"/>
      <c r="G50" s="156"/>
      <c r="H50" s="156"/>
      <c r="I50" s="156"/>
      <c r="J50" s="156"/>
      <c r="K50" s="156"/>
      <c r="L50" s="156"/>
      <c r="M50" s="65"/>
    </row>
    <row r="51" spans="3:13" ht="6.75" customHeight="1">
      <c r="C51" s="76"/>
      <c r="D51" s="76"/>
      <c r="E51" s="202"/>
      <c r="F51" s="202"/>
      <c r="G51" s="202"/>
      <c r="H51" s="202"/>
      <c r="I51" s="202"/>
      <c r="J51" s="202"/>
      <c r="K51" s="202"/>
      <c r="L51" s="202"/>
      <c r="M51" s="68"/>
    </row>
    <row r="52" spans="3:13" ht="12.75">
      <c r="C52" s="466" t="s">
        <v>226</v>
      </c>
      <c r="D52" s="466"/>
      <c r="E52" s="466"/>
      <c r="F52" s="466"/>
      <c r="G52" s="466"/>
      <c r="H52" s="466"/>
      <c r="I52" s="466"/>
      <c r="J52" s="466"/>
      <c r="K52" s="466"/>
      <c r="L52" s="466"/>
      <c r="M52" s="466"/>
    </row>
    <row r="53" spans="3:13" ht="12.75">
      <c r="C53" s="467" t="s">
        <v>227</v>
      </c>
      <c r="D53" s="467"/>
      <c r="E53" s="467"/>
      <c r="F53" s="467"/>
      <c r="G53" s="467"/>
      <c r="H53" s="467"/>
      <c r="I53" s="467"/>
      <c r="J53" s="467"/>
      <c r="K53" s="467"/>
      <c r="L53" s="467"/>
      <c r="M53" s="467"/>
    </row>
    <row r="54" spans="3:13" ht="21" customHeight="1">
      <c r="C54" s="470" t="s">
        <v>228</v>
      </c>
      <c r="D54" s="470"/>
      <c r="E54" s="470"/>
      <c r="F54" s="470"/>
      <c r="G54" s="470"/>
      <c r="H54" s="470"/>
      <c r="I54" s="470"/>
      <c r="J54" s="470"/>
      <c r="K54" s="470"/>
      <c r="L54" s="470"/>
      <c r="M54" s="470"/>
    </row>
    <row r="55" spans="3:13" ht="21" customHeight="1">
      <c r="C55" s="462" t="s">
        <v>268</v>
      </c>
      <c r="D55" s="462"/>
      <c r="E55" s="462"/>
      <c r="F55" s="462"/>
      <c r="G55" s="462"/>
      <c r="H55" s="462"/>
      <c r="I55" s="462"/>
      <c r="J55" s="462"/>
      <c r="K55" s="462"/>
      <c r="L55" s="462"/>
      <c r="M55" s="462"/>
    </row>
    <row r="56" spans="3:13" s="339" customFormat="1" ht="25.5" customHeight="1">
      <c r="C56" s="468" t="s">
        <v>332</v>
      </c>
      <c r="D56" s="469"/>
      <c r="E56" s="469"/>
      <c r="F56" s="469"/>
      <c r="G56" s="469"/>
      <c r="H56" s="469"/>
      <c r="I56" s="469"/>
      <c r="J56" s="469"/>
      <c r="K56" s="469"/>
      <c r="L56" s="469"/>
      <c r="M56" s="469"/>
    </row>
    <row r="58" spans="2:14" ht="15.75">
      <c r="B58" s="36" t="s">
        <v>23</v>
      </c>
      <c r="C58" s="208"/>
      <c r="D58" s="208"/>
      <c r="E58" s="208"/>
      <c r="F58" s="208"/>
      <c r="G58" s="208"/>
      <c r="H58" s="208"/>
      <c r="I58" s="208"/>
      <c r="J58" s="208"/>
      <c r="K58" s="422" t="s">
        <v>21</v>
      </c>
      <c r="L58" s="422"/>
      <c r="M58" s="422"/>
      <c r="N58" s="422"/>
    </row>
  </sheetData>
  <mergeCells count="16">
    <mergeCell ref="K58:N58"/>
    <mergeCell ref="K2:N2"/>
    <mergeCell ref="M4:N4"/>
    <mergeCell ref="C8:M8"/>
    <mergeCell ref="C52:M52"/>
    <mergeCell ref="B6:N6"/>
    <mergeCell ref="C53:M53"/>
    <mergeCell ref="C56:M56"/>
    <mergeCell ref="M10:M13"/>
    <mergeCell ref="C54:M54"/>
    <mergeCell ref="C55:M55"/>
    <mergeCell ref="C10:C13"/>
    <mergeCell ref="E10:E13"/>
    <mergeCell ref="G10:G13"/>
    <mergeCell ref="I10:I13"/>
    <mergeCell ref="K10:K13"/>
  </mergeCells>
  <hyperlinks>
    <hyperlink ref="M4" location="Índice!B23" display="Volver al índice"/>
    <hyperlink ref="M4:N4" location="Índice!B6" display="Volver al índice"/>
  </hyperlinks>
  <printOptions horizontalCentered="1" verticalCentered="1"/>
  <pageMargins left="0.75" right="0.75" top="1" bottom="1" header="0.5" footer="0.5"/>
  <pageSetup fitToHeight="1" fitToWidth="1" horizontalDpi="600" verticalDpi="600" orientation="portrait" scale="70"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A1:R110"/>
  <sheetViews>
    <sheetView showGridLines="0" view="pageBreakPreview" zoomScale="80" zoomScaleSheetLayoutView="80" workbookViewId="0" topLeftCell="A1">
      <selection activeCell="A1" sqref="A1"/>
    </sheetView>
  </sheetViews>
  <sheetFormatPr defaultColWidth="9.140625" defaultRowHeight="12.75"/>
  <cols>
    <col min="1" max="1" width="3.57421875" style="1" customWidth="1"/>
    <col min="2" max="2" width="6.57421875" style="28" customWidth="1"/>
    <col min="3" max="3" width="3.140625" style="27" customWidth="1"/>
    <col min="4" max="4" width="8.57421875" style="1" customWidth="1"/>
    <col min="5" max="5" width="12.421875" style="1" customWidth="1"/>
    <col min="6" max="6" width="10.28125" style="1" customWidth="1"/>
    <col min="7" max="7" width="13.7109375" style="1" customWidth="1"/>
    <col min="8" max="8" width="8.8515625" style="1" customWidth="1"/>
    <col min="9" max="9" width="10.00390625" style="1" customWidth="1"/>
    <col min="10" max="11" width="8.8515625" style="32" customWidth="1"/>
    <col min="12" max="12" width="3.7109375" style="1" customWidth="1"/>
    <col min="13" max="13" width="10.57421875" style="1" customWidth="1"/>
    <col min="14" max="14" width="8.8515625" style="1" customWidth="1"/>
    <col min="15" max="15" width="11.421875" style="1" bestFit="1" customWidth="1"/>
    <col min="16" max="16384" width="8.8515625" style="1" customWidth="1"/>
  </cols>
  <sheetData>
    <row r="1" ht="12.75">
      <c r="A1" s="192"/>
    </row>
    <row r="2" spans="6:13" ht="12.75">
      <c r="F2" s="23"/>
      <c r="G2" s="23"/>
      <c r="H2" s="23"/>
      <c r="I2" s="23"/>
      <c r="J2" s="23"/>
      <c r="K2" s="23"/>
      <c r="M2" s="23" t="s">
        <v>22</v>
      </c>
    </row>
    <row r="3" spans="2:14" s="24" customFormat="1" ht="12.75">
      <c r="B3" s="28"/>
      <c r="C3" s="27"/>
      <c r="N3" s="25"/>
    </row>
    <row r="4" spans="2:13" s="24" customFormat="1" ht="12.75">
      <c r="B4" s="28"/>
      <c r="C4" s="27"/>
      <c r="J4" s="25"/>
      <c r="K4" s="378" t="s">
        <v>8</v>
      </c>
      <c r="L4" s="378"/>
      <c r="M4" s="378"/>
    </row>
    <row r="5" spans="2:13" s="24" customFormat="1" ht="12.75">
      <c r="B5" s="28"/>
      <c r="C5" s="27"/>
      <c r="J5" s="25"/>
      <c r="K5" s="25"/>
      <c r="L5" s="25"/>
      <c r="M5" s="25"/>
    </row>
    <row r="6" spans="2:13" s="24" customFormat="1" ht="18.75">
      <c r="B6" s="419" t="s">
        <v>10</v>
      </c>
      <c r="C6" s="419"/>
      <c r="D6" s="419"/>
      <c r="E6" s="419"/>
      <c r="F6" s="419"/>
      <c r="G6" s="419"/>
      <c r="H6" s="419"/>
      <c r="I6" s="419"/>
      <c r="J6" s="419"/>
      <c r="K6" s="419"/>
      <c r="L6" s="419"/>
      <c r="M6" s="419"/>
    </row>
    <row r="7" spans="2:11" s="24" customFormat="1" ht="12.75">
      <c r="B7" s="28"/>
      <c r="C7" s="27"/>
      <c r="J7" s="30"/>
      <c r="K7" s="30"/>
    </row>
    <row r="8" spans="2:13" s="24" customFormat="1" ht="12.75" customHeight="1">
      <c r="B8" s="477">
        <v>1.1</v>
      </c>
      <c r="C8" s="478" t="s">
        <v>20</v>
      </c>
      <c r="D8" s="404" t="s">
        <v>47</v>
      </c>
      <c r="E8" s="404"/>
      <c r="F8" s="404"/>
      <c r="G8" s="404"/>
      <c r="H8" s="404"/>
      <c r="I8" s="404"/>
      <c r="J8" s="404"/>
      <c r="K8" s="404"/>
      <c r="L8" s="404"/>
      <c r="M8" s="404"/>
    </row>
    <row r="9" spans="2:13" s="24" customFormat="1" ht="12.75">
      <c r="B9" s="477"/>
      <c r="C9" s="478"/>
      <c r="D9" s="404"/>
      <c r="E9" s="404"/>
      <c r="F9" s="404"/>
      <c r="G9" s="404"/>
      <c r="H9" s="404"/>
      <c r="I9" s="404"/>
      <c r="J9" s="404"/>
      <c r="K9" s="404"/>
      <c r="L9" s="404"/>
      <c r="M9" s="404"/>
    </row>
    <row r="10" spans="2:13" s="24" customFormat="1" ht="12.75">
      <c r="B10" s="477"/>
      <c r="C10" s="478"/>
      <c r="D10" s="41"/>
      <c r="E10" s="41"/>
      <c r="F10" s="41"/>
      <c r="G10" s="41"/>
      <c r="H10" s="41"/>
      <c r="I10" s="41"/>
      <c r="J10" s="41"/>
      <c r="K10" s="41"/>
      <c r="L10" s="41"/>
      <c r="M10" s="41"/>
    </row>
    <row r="11" spans="2:13" s="24" customFormat="1" ht="12.75" customHeight="1">
      <c r="B11" s="477"/>
      <c r="C11" s="478"/>
      <c r="D11" s="360" t="s">
        <v>8</v>
      </c>
      <c r="E11" s="26"/>
      <c r="F11" s="26"/>
      <c r="G11" s="26"/>
      <c r="H11" s="26"/>
      <c r="I11" s="26"/>
      <c r="J11" s="26"/>
      <c r="K11" s="425" t="s">
        <v>41</v>
      </c>
      <c r="L11" s="425"/>
      <c r="M11" s="425"/>
    </row>
    <row r="12" spans="2:11" s="24" customFormat="1" ht="12.75">
      <c r="B12" s="477"/>
      <c r="C12" s="478"/>
      <c r="D12" s="26"/>
      <c r="E12" s="26"/>
      <c r="F12" s="26"/>
      <c r="G12" s="26"/>
      <c r="H12" s="26"/>
      <c r="I12" s="26"/>
      <c r="J12" s="26"/>
      <c r="K12" s="26"/>
    </row>
    <row r="13" spans="2:11" s="24" customFormat="1" ht="12.75" customHeight="1">
      <c r="B13" s="477">
        <f>+B8+0.1</f>
        <v>1.2000000000000002</v>
      </c>
      <c r="C13" s="478" t="s">
        <v>20</v>
      </c>
      <c r="D13" s="382" t="s">
        <v>48</v>
      </c>
      <c r="E13" s="382"/>
      <c r="F13" s="382"/>
      <c r="G13" s="382"/>
      <c r="H13" s="382"/>
      <c r="I13" s="382"/>
      <c r="J13" s="382"/>
      <c r="K13" s="382"/>
    </row>
    <row r="14" spans="2:11" s="24" customFormat="1" ht="12.75">
      <c r="B14" s="477"/>
      <c r="C14" s="478"/>
      <c r="D14" s="49"/>
      <c r="E14" s="49"/>
      <c r="F14" s="49"/>
      <c r="G14" s="49"/>
      <c r="H14" s="49"/>
      <c r="I14" s="49"/>
      <c r="J14" s="49"/>
      <c r="K14" s="49"/>
    </row>
    <row r="15" spans="2:11" s="24" customFormat="1" ht="12.75">
      <c r="B15" s="477"/>
      <c r="C15" s="478"/>
      <c r="D15" s="74"/>
      <c r="E15" s="73"/>
      <c r="F15" s="380"/>
      <c r="G15" s="380"/>
      <c r="H15" s="380"/>
      <c r="I15" s="380"/>
      <c r="J15" s="380"/>
      <c r="K15" s="380"/>
    </row>
    <row r="16" spans="2:11" s="24" customFormat="1" ht="15.75">
      <c r="B16" s="477"/>
      <c r="C16" s="478"/>
      <c r="D16" s="405" t="s">
        <v>91</v>
      </c>
      <c r="E16" s="405"/>
      <c r="F16" s="405"/>
      <c r="G16" s="405"/>
      <c r="H16" s="405"/>
      <c r="I16" s="405"/>
      <c r="J16" s="87"/>
      <c r="K16" s="87"/>
    </row>
    <row r="17" spans="2:13" s="24" customFormat="1" ht="12.75" customHeight="1" thickBot="1">
      <c r="B17" s="477"/>
      <c r="C17" s="478"/>
      <c r="D17" s="65"/>
      <c r="E17" s="65"/>
      <c r="F17" s="65"/>
      <c r="G17" s="65"/>
      <c r="H17" s="65"/>
      <c r="I17" s="65"/>
      <c r="J17" s="82"/>
      <c r="K17" s="82"/>
      <c r="L17" s="113"/>
      <c r="M17" s="113"/>
    </row>
    <row r="18" spans="2:13" s="24" customFormat="1" ht="12.75">
      <c r="B18" s="477"/>
      <c r="C18" s="478"/>
      <c r="D18" s="407" t="s">
        <v>64</v>
      </c>
      <c r="E18" s="407" t="s">
        <v>65</v>
      </c>
      <c r="F18" s="407"/>
      <c r="G18" s="407" t="s">
        <v>66</v>
      </c>
      <c r="H18" s="407"/>
      <c r="I18" s="409" t="s">
        <v>359</v>
      </c>
      <c r="J18" s="113"/>
      <c r="K18" s="113"/>
      <c r="L18" s="113"/>
      <c r="M18" s="113"/>
    </row>
    <row r="19" spans="2:13" s="24" customFormat="1" ht="13.5" thickBot="1">
      <c r="B19" s="477"/>
      <c r="C19" s="478"/>
      <c r="D19" s="383"/>
      <c r="E19" s="408"/>
      <c r="F19" s="408"/>
      <c r="G19" s="408"/>
      <c r="H19" s="408"/>
      <c r="I19" s="410"/>
      <c r="J19" s="113"/>
      <c r="K19" s="113"/>
      <c r="L19" s="113"/>
      <c r="M19" s="113"/>
    </row>
    <row r="20" spans="2:13" s="24" customFormat="1" ht="12.75">
      <c r="B20" s="477"/>
      <c r="C20" s="478"/>
      <c r="D20" s="383"/>
      <c r="E20" s="89" t="s">
        <v>67</v>
      </c>
      <c r="F20" s="89" t="s">
        <v>68</v>
      </c>
      <c r="G20" s="89" t="s">
        <v>71</v>
      </c>
      <c r="H20" s="89" t="s">
        <v>72</v>
      </c>
      <c r="I20" s="410"/>
      <c r="J20" s="113"/>
      <c r="K20" s="113"/>
      <c r="L20" s="113"/>
      <c r="M20" s="113"/>
    </row>
    <row r="21" spans="2:13" s="24" customFormat="1" ht="13.5" thickBot="1">
      <c r="B21" s="477"/>
      <c r="C21" s="478"/>
      <c r="D21" s="90"/>
      <c r="E21" s="91"/>
      <c r="F21" s="91"/>
      <c r="G21" s="91"/>
      <c r="H21" s="91"/>
      <c r="I21" s="91"/>
      <c r="J21" s="113"/>
      <c r="K21" s="113"/>
      <c r="L21" s="113"/>
      <c r="M21" s="113"/>
    </row>
    <row r="22" spans="2:13" s="24" customFormat="1" ht="12.75">
      <c r="B22" s="477"/>
      <c r="C22" s="478"/>
      <c r="D22" s="96" t="s">
        <v>73</v>
      </c>
      <c r="E22" s="67">
        <f>1914391/1000</f>
        <v>1914.391</v>
      </c>
      <c r="F22" s="67">
        <f>1840479/1000</f>
        <v>1840.479</v>
      </c>
      <c r="G22" s="69">
        <v>7.774375250406004</v>
      </c>
      <c r="H22" s="69">
        <v>5.9649169591177085</v>
      </c>
      <c r="I22" s="68"/>
      <c r="J22" s="113"/>
      <c r="K22" s="113"/>
      <c r="L22" s="113"/>
      <c r="M22" s="113"/>
    </row>
    <row r="23" spans="2:13" s="24" customFormat="1" ht="12.75">
      <c r="B23" s="477"/>
      <c r="C23" s="478"/>
      <c r="D23" s="97" t="s">
        <v>74</v>
      </c>
      <c r="E23" s="92">
        <f>1943375/1000</f>
        <v>1943.375</v>
      </c>
      <c r="F23" s="92">
        <f>1873295/1000</f>
        <v>1873.295</v>
      </c>
      <c r="G23" s="94">
        <v>0.75</v>
      </c>
      <c r="H23" s="94">
        <v>0.53</v>
      </c>
      <c r="I23" s="93"/>
      <c r="J23" s="113"/>
      <c r="K23" s="113"/>
      <c r="L23" s="113"/>
      <c r="M23" s="113"/>
    </row>
    <row r="24" spans="2:13" s="24" customFormat="1" ht="12.75">
      <c r="B24" s="477"/>
      <c r="C24" s="478"/>
      <c r="D24" s="96" t="s">
        <v>75</v>
      </c>
      <c r="E24" s="67">
        <f>1947256/1000</f>
        <v>1947.256</v>
      </c>
      <c r="F24" s="67">
        <f>1893376/1000</f>
        <v>1893.376</v>
      </c>
      <c r="G24" s="69">
        <v>0.7</v>
      </c>
      <c r="H24" s="69">
        <v>0.43</v>
      </c>
      <c r="I24" s="68"/>
      <c r="J24" s="113"/>
      <c r="K24" s="113"/>
      <c r="L24" s="113"/>
      <c r="M24" s="113"/>
    </row>
    <row r="25" spans="2:13" s="24" customFormat="1" ht="12.75">
      <c r="B25" s="477"/>
      <c r="C25" s="478"/>
      <c r="D25" s="97" t="s">
        <v>76</v>
      </c>
      <c r="E25" s="92">
        <f>1614187/1000</f>
        <v>1614.187</v>
      </c>
      <c r="F25" s="92">
        <f>1687249/1000</f>
        <v>1687.249</v>
      </c>
      <c r="G25" s="94">
        <v>1.82</v>
      </c>
      <c r="H25" s="94">
        <v>0.72</v>
      </c>
      <c r="I25" s="95">
        <f>0.1108*1000</f>
        <v>110.8</v>
      </c>
      <c r="J25" s="113"/>
      <c r="K25" s="113"/>
      <c r="L25" s="113"/>
      <c r="M25" s="113"/>
    </row>
    <row r="26" spans="2:13" s="24" customFormat="1" ht="12.75">
      <c r="B26" s="477"/>
      <c r="C26" s="478"/>
      <c r="D26" s="96" t="s">
        <v>77</v>
      </c>
      <c r="E26" s="67">
        <f>1508254/1000</f>
        <v>1508.254</v>
      </c>
      <c r="F26" s="67">
        <f>1648276/1000</f>
        <v>1648.276</v>
      </c>
      <c r="G26" s="69">
        <v>3.63</v>
      </c>
      <c r="H26" s="69">
        <v>0.92</v>
      </c>
      <c r="I26" s="70">
        <f>0.173*1000</f>
        <v>173</v>
      </c>
      <c r="J26" s="113"/>
      <c r="K26" s="113"/>
      <c r="L26" s="113"/>
      <c r="M26" s="113"/>
    </row>
    <row r="27" spans="2:13" s="24" customFormat="1" ht="12.75">
      <c r="B27" s="477"/>
      <c r="C27" s="478"/>
      <c r="D27" s="97" t="s">
        <v>78</v>
      </c>
      <c r="E27" s="92">
        <f>1420298/1000</f>
        <v>1420.298</v>
      </c>
      <c r="F27" s="92">
        <f>1557235/1000</f>
        <v>1557.235</v>
      </c>
      <c r="G27" s="94">
        <v>4.4</v>
      </c>
      <c r="H27" s="94">
        <v>1.13</v>
      </c>
      <c r="I27" s="95">
        <f>0.1422*1000</f>
        <v>142.2</v>
      </c>
      <c r="J27" s="113"/>
      <c r="K27" s="113"/>
      <c r="L27" s="113"/>
      <c r="M27" s="113"/>
    </row>
    <row r="28" spans="2:13" s="24" customFormat="1" ht="12.75">
      <c r="B28" s="477"/>
      <c r="C28" s="478"/>
      <c r="D28" s="96" t="s">
        <v>61</v>
      </c>
      <c r="E28" s="67">
        <f>1303844/1000</f>
        <v>1303.844</v>
      </c>
      <c r="F28" s="67">
        <f>1389426/1000</f>
        <v>1389.426</v>
      </c>
      <c r="G28" s="69">
        <v>4.34</v>
      </c>
      <c r="H28" s="69">
        <v>1.44</v>
      </c>
      <c r="I28" s="70">
        <f>0.0973*1000</f>
        <v>97.3</v>
      </c>
      <c r="J28" s="113"/>
      <c r="K28" s="113"/>
      <c r="L28" s="113"/>
      <c r="M28" s="113"/>
    </row>
    <row r="29" spans="2:13" s="24" customFormat="1" ht="12.75">
      <c r="B29" s="477"/>
      <c r="C29" s="478"/>
      <c r="D29" s="97" t="s">
        <v>62</v>
      </c>
      <c r="E29" s="92">
        <f>1060353/1000</f>
        <v>1060.353</v>
      </c>
      <c r="F29" s="92">
        <f>1159397/1000</f>
        <v>1159.397</v>
      </c>
      <c r="G29" s="94">
        <v>4.24</v>
      </c>
      <c r="H29" s="94">
        <v>1.9</v>
      </c>
      <c r="I29" s="95">
        <f>0.0558*1000</f>
        <v>55.800000000000004</v>
      </c>
      <c r="J29" s="113"/>
      <c r="K29" s="113"/>
      <c r="L29" s="113"/>
      <c r="M29" s="113"/>
    </row>
    <row r="30" spans="2:13" s="24" customFormat="1" ht="12.75">
      <c r="B30" s="477"/>
      <c r="C30" s="478"/>
      <c r="D30" s="96" t="s">
        <v>79</v>
      </c>
      <c r="E30" s="67">
        <f>864685/1000</f>
        <v>864.685</v>
      </c>
      <c r="F30" s="67">
        <f>871241/1000</f>
        <v>871.241</v>
      </c>
      <c r="G30" s="69">
        <v>4.93</v>
      </c>
      <c r="H30" s="69">
        <v>2.91</v>
      </c>
      <c r="I30" s="70">
        <f>0.0215*1000</f>
        <v>21.5</v>
      </c>
      <c r="J30" s="113"/>
      <c r="K30" s="113"/>
      <c r="L30" s="113"/>
      <c r="M30" s="113"/>
    </row>
    <row r="31" spans="2:13" s="24" customFormat="1" ht="12.75">
      <c r="B31" s="477"/>
      <c r="C31" s="478"/>
      <c r="D31" s="97" t="s">
        <v>80</v>
      </c>
      <c r="E31" s="92">
        <f>650119/1000</f>
        <v>650.119</v>
      </c>
      <c r="F31" s="92">
        <f>673696/1000</f>
        <v>673.696</v>
      </c>
      <c r="G31" s="94">
        <v>6.62</v>
      </c>
      <c r="H31" s="94">
        <v>4.36</v>
      </c>
      <c r="I31" s="95">
        <f>0.0065*1000</f>
        <v>6.5</v>
      </c>
      <c r="J31" s="113"/>
      <c r="K31" s="113"/>
      <c r="L31" s="113"/>
      <c r="M31" s="113"/>
    </row>
    <row r="32" spans="2:13" s="24" customFormat="1" ht="12.75">
      <c r="B32" s="477"/>
      <c r="C32" s="478"/>
      <c r="D32" s="96" t="s">
        <v>81</v>
      </c>
      <c r="E32" s="67">
        <f>559518/1000</f>
        <v>559.518</v>
      </c>
      <c r="F32" s="67">
        <f>579983/1000</f>
        <v>579.983</v>
      </c>
      <c r="G32" s="69">
        <v>8.91</v>
      </c>
      <c r="H32" s="69">
        <v>6.66</v>
      </c>
      <c r="I32" s="68"/>
      <c r="J32" s="113"/>
      <c r="K32" s="113"/>
      <c r="L32" s="113"/>
      <c r="M32" s="113"/>
    </row>
    <row r="33" spans="2:13" s="24" customFormat="1" ht="12.75">
      <c r="B33" s="477"/>
      <c r="C33" s="478"/>
      <c r="D33" s="97" t="s">
        <v>82</v>
      </c>
      <c r="E33" s="92">
        <f>413838/1000</f>
        <v>413.838</v>
      </c>
      <c r="F33" s="92">
        <f>441427/1000</f>
        <v>441.427</v>
      </c>
      <c r="G33" s="94">
        <v>14.33</v>
      </c>
      <c r="H33" s="94">
        <v>10.51</v>
      </c>
      <c r="I33" s="93"/>
      <c r="J33" s="113"/>
      <c r="K33" s="113"/>
      <c r="L33" s="113"/>
      <c r="M33" s="113"/>
    </row>
    <row r="34" spans="2:13" s="24" customFormat="1" ht="12.75">
      <c r="B34" s="477"/>
      <c r="C34" s="478"/>
      <c r="D34" s="96" t="s">
        <v>83</v>
      </c>
      <c r="E34" s="67">
        <f>388860/1000</f>
        <v>388.86</v>
      </c>
      <c r="F34" s="67">
        <f>409374/1000</f>
        <v>409.374</v>
      </c>
      <c r="G34" s="69">
        <v>21.12</v>
      </c>
      <c r="H34" s="69">
        <v>15.85</v>
      </c>
      <c r="I34" s="68"/>
      <c r="J34" s="113"/>
      <c r="K34" s="113"/>
      <c r="L34" s="113"/>
      <c r="M34" s="113"/>
    </row>
    <row r="35" spans="2:13" s="24" customFormat="1" ht="12.75">
      <c r="B35" s="477"/>
      <c r="C35" s="478"/>
      <c r="D35" s="97" t="s">
        <v>84</v>
      </c>
      <c r="E35" s="92">
        <f>260405/1000</f>
        <v>260.405</v>
      </c>
      <c r="F35" s="92">
        <f>279311/1000</f>
        <v>279.311</v>
      </c>
      <c r="G35" s="94">
        <v>34.57</v>
      </c>
      <c r="H35" s="94">
        <v>26.41</v>
      </c>
      <c r="I35" s="93"/>
      <c r="J35" s="113"/>
      <c r="K35" s="113"/>
      <c r="L35" s="113"/>
      <c r="M35" s="113"/>
    </row>
    <row r="36" spans="2:13" s="24" customFormat="1" ht="12.75">
      <c r="B36" s="477"/>
      <c r="C36" s="478"/>
      <c r="D36" s="96" t="s">
        <v>85</v>
      </c>
      <c r="E36" s="67">
        <f>201401/1000</f>
        <v>201.401</v>
      </c>
      <c r="F36" s="67">
        <f>216084/1000</f>
        <v>216.084</v>
      </c>
      <c r="G36" s="69">
        <v>51.63</v>
      </c>
      <c r="H36" s="69">
        <v>40.98</v>
      </c>
      <c r="I36" s="68"/>
      <c r="J36" s="113"/>
      <c r="K36" s="113"/>
      <c r="L36" s="113"/>
      <c r="M36" s="113"/>
    </row>
    <row r="37" spans="2:13" s="24" customFormat="1" ht="12.75">
      <c r="B37" s="477"/>
      <c r="C37" s="478"/>
      <c r="D37" s="97" t="s">
        <v>86</v>
      </c>
      <c r="E37" s="92">
        <f>123908/1000</f>
        <v>123.908</v>
      </c>
      <c r="F37" s="92">
        <f>136515/1000</f>
        <v>136.515</v>
      </c>
      <c r="G37" s="94">
        <v>76.97</v>
      </c>
      <c r="H37" s="94">
        <v>65.43</v>
      </c>
      <c r="I37" s="93"/>
      <c r="J37" s="113"/>
      <c r="K37" s="113"/>
      <c r="L37" s="113"/>
      <c r="M37" s="113"/>
    </row>
    <row r="38" spans="2:13" s="24" customFormat="1" ht="12.75">
      <c r="B38" s="477"/>
      <c r="C38" s="478"/>
      <c r="D38" s="96" t="s">
        <v>87</v>
      </c>
      <c r="E38" s="67">
        <f>+(73107+48740)/1000</f>
        <v>121.847</v>
      </c>
      <c r="F38" s="67">
        <f>(88854+68083)/1000</f>
        <v>156.937</v>
      </c>
      <c r="G38" s="69">
        <v>133.11</v>
      </c>
      <c r="H38" s="69">
        <v>124.88</v>
      </c>
      <c r="I38" s="68"/>
      <c r="J38" s="113"/>
      <c r="K38" s="113"/>
      <c r="L38" s="113"/>
      <c r="M38" s="113"/>
    </row>
    <row r="39" spans="2:13" s="24" customFormat="1" ht="12.75">
      <c r="B39" s="477"/>
      <c r="C39" s="478"/>
      <c r="D39" s="98" t="s">
        <v>88</v>
      </c>
      <c r="E39" s="92">
        <f>SUM(E22:E38)</f>
        <v>16296.538999999999</v>
      </c>
      <c r="F39" s="92">
        <f>SUM(F22:F38)</f>
        <v>16813.301</v>
      </c>
      <c r="G39" s="94"/>
      <c r="H39" s="94"/>
      <c r="I39" s="93"/>
      <c r="J39" s="113"/>
      <c r="K39" s="113"/>
      <c r="L39" s="113"/>
      <c r="M39" s="113"/>
    </row>
    <row r="40" spans="2:13" s="24" customFormat="1" ht="12.75" customHeight="1" thickBot="1">
      <c r="B40" s="477"/>
      <c r="C40" s="478"/>
      <c r="D40" s="65"/>
      <c r="E40" s="65"/>
      <c r="F40" s="65"/>
      <c r="G40" s="65"/>
      <c r="H40" s="65"/>
      <c r="I40" s="65"/>
      <c r="J40" s="82"/>
      <c r="K40" s="82"/>
      <c r="L40" s="113"/>
      <c r="M40" s="113"/>
    </row>
    <row r="41" spans="2:11" s="24" customFormat="1" ht="12.75">
      <c r="B41" s="477"/>
      <c r="C41" s="478"/>
      <c r="D41" s="413" t="s">
        <v>89</v>
      </c>
      <c r="E41" s="413"/>
      <c r="F41" s="413"/>
      <c r="G41" s="413"/>
      <c r="H41" s="413"/>
      <c r="I41" s="413"/>
      <c r="J41" s="413"/>
      <c r="K41" s="413"/>
    </row>
    <row r="42" spans="2:11" s="24" customFormat="1" ht="12.75" customHeight="1">
      <c r="B42" s="477"/>
      <c r="C42" s="478"/>
      <c r="D42" s="413"/>
      <c r="E42" s="413"/>
      <c r="F42" s="413"/>
      <c r="G42" s="413"/>
      <c r="H42" s="413"/>
      <c r="I42" s="413"/>
      <c r="J42" s="413"/>
      <c r="K42" s="413"/>
    </row>
    <row r="43" spans="2:11" s="24" customFormat="1" ht="12.75">
      <c r="B43" s="477"/>
      <c r="C43" s="478"/>
      <c r="D43" s="406" t="s">
        <v>90</v>
      </c>
      <c r="E43" s="406"/>
      <c r="F43" s="72"/>
      <c r="G43" s="72"/>
      <c r="H43" s="72"/>
      <c r="I43" s="72"/>
      <c r="J43" s="72"/>
      <c r="K43" s="72"/>
    </row>
    <row r="44" spans="2:11" s="24" customFormat="1" ht="12.75">
      <c r="B44" s="477"/>
      <c r="C44" s="478"/>
      <c r="D44" s="320"/>
      <c r="E44" s="320"/>
      <c r="F44" s="72"/>
      <c r="G44" s="72"/>
      <c r="H44" s="72"/>
      <c r="I44" s="72"/>
      <c r="J44" s="72"/>
      <c r="K44" s="72"/>
    </row>
    <row r="45" spans="2:14" s="24" customFormat="1" ht="12.75" customHeight="1">
      <c r="B45" s="477"/>
      <c r="C45" s="478"/>
      <c r="D45" s="360" t="s">
        <v>8</v>
      </c>
      <c r="E45" s="26"/>
      <c r="F45" s="26"/>
      <c r="G45" s="26"/>
      <c r="H45" s="26"/>
      <c r="I45" s="26"/>
      <c r="K45" s="425" t="s">
        <v>42</v>
      </c>
      <c r="L45" s="425"/>
      <c r="M45" s="425"/>
      <c r="N45" s="52"/>
    </row>
    <row r="46" spans="2:11" s="24" customFormat="1" ht="12.75">
      <c r="B46" s="477"/>
      <c r="C46" s="478"/>
      <c r="D46" s="26"/>
      <c r="E46" s="26"/>
      <c r="F46" s="26"/>
      <c r="G46" s="26"/>
      <c r="H46" s="26"/>
      <c r="I46" s="26"/>
      <c r="J46" s="26"/>
      <c r="K46" s="26"/>
    </row>
    <row r="47" spans="2:11" s="24" customFormat="1" ht="12" customHeight="1">
      <c r="B47" s="477"/>
      <c r="C47" s="478"/>
      <c r="D47" s="26"/>
      <c r="E47" s="26"/>
      <c r="F47" s="26"/>
      <c r="G47" s="26"/>
      <c r="H47" s="26"/>
      <c r="I47" s="26"/>
      <c r="J47" s="31"/>
      <c r="K47" s="31"/>
    </row>
    <row r="48" spans="2:13" s="24" customFormat="1" ht="12.75">
      <c r="B48" s="477">
        <f>+B13+0.1</f>
        <v>1.3000000000000003</v>
      </c>
      <c r="C48" s="479" t="s">
        <v>360</v>
      </c>
      <c r="D48" s="411" t="s">
        <v>100</v>
      </c>
      <c r="E48" s="411"/>
      <c r="F48" s="411"/>
      <c r="G48" s="411"/>
      <c r="H48" s="411"/>
      <c r="I48" s="411"/>
      <c r="J48" s="411"/>
      <c r="K48" s="411"/>
      <c r="L48" s="411"/>
      <c r="M48" s="411"/>
    </row>
    <row r="49" spans="2:13" s="24" customFormat="1" ht="15" customHeight="1">
      <c r="B49" s="480"/>
      <c r="C49" s="481"/>
      <c r="D49" s="411"/>
      <c r="E49" s="411"/>
      <c r="F49" s="411"/>
      <c r="G49" s="411"/>
      <c r="H49" s="411"/>
      <c r="I49" s="411"/>
      <c r="J49" s="411"/>
      <c r="K49" s="411"/>
      <c r="L49" s="411"/>
      <c r="M49" s="411"/>
    </row>
    <row r="50" spans="2:11" s="24" customFormat="1" ht="13.5" customHeight="1">
      <c r="B50" s="480"/>
      <c r="C50" s="481"/>
      <c r="J50" s="49"/>
      <c r="K50" s="49"/>
    </row>
    <row r="51" spans="2:14" s="24" customFormat="1" ht="13.5" customHeight="1">
      <c r="B51" s="480"/>
      <c r="C51" s="481"/>
      <c r="D51" s="360" t="s">
        <v>8</v>
      </c>
      <c r="E51" s="49"/>
      <c r="F51" s="49"/>
      <c r="G51" s="49"/>
      <c r="H51" s="49"/>
      <c r="I51" s="49"/>
      <c r="K51" s="425" t="s">
        <v>43</v>
      </c>
      <c r="L51" s="425"/>
      <c r="M51" s="425"/>
      <c r="N51" s="52"/>
    </row>
    <row r="52" spans="2:11" s="24" customFormat="1" ht="13.5" customHeight="1">
      <c r="B52" s="480"/>
      <c r="C52" s="481"/>
      <c r="D52" s="49"/>
      <c r="E52" s="49"/>
      <c r="F52" s="49"/>
      <c r="G52" s="49"/>
      <c r="H52" s="49"/>
      <c r="I52" s="49"/>
      <c r="J52" s="50"/>
      <c r="K52" s="50"/>
    </row>
    <row r="53" spans="2:11" s="24" customFormat="1" ht="13.5" customHeight="1">
      <c r="B53" s="480"/>
      <c r="C53" s="481"/>
      <c r="D53" s="49"/>
      <c r="E53" s="49"/>
      <c r="F53" s="49"/>
      <c r="G53" s="49"/>
      <c r="H53" s="49"/>
      <c r="I53" s="49"/>
      <c r="J53" s="50"/>
      <c r="K53" s="50"/>
    </row>
    <row r="54" spans="2:13" s="24" customFormat="1" ht="12.75" customHeight="1">
      <c r="B54" s="477">
        <f>+B48+0.1</f>
        <v>1.4000000000000004</v>
      </c>
      <c r="C54" s="478" t="s">
        <v>20</v>
      </c>
      <c r="D54" s="426" t="s">
        <v>92</v>
      </c>
      <c r="E54" s="426"/>
      <c r="F54" s="426"/>
      <c r="G54" s="426"/>
      <c r="H54" s="426"/>
      <c r="I54" s="426"/>
      <c r="J54" s="426"/>
      <c r="K54" s="426"/>
      <c r="L54" s="426"/>
      <c r="M54" s="426"/>
    </row>
    <row r="55" spans="2:13" s="24" customFormat="1" ht="12.75" customHeight="1">
      <c r="B55" s="477"/>
      <c r="C55" s="478"/>
      <c r="D55" s="100"/>
      <c r="E55" s="100"/>
      <c r="F55" s="100"/>
      <c r="G55" s="100"/>
      <c r="H55" s="100"/>
      <c r="I55" s="100"/>
      <c r="J55" s="100"/>
      <c r="K55" s="100"/>
      <c r="L55" s="100"/>
      <c r="M55" s="100"/>
    </row>
    <row r="56" spans="2:14" s="24" customFormat="1" ht="12.75" customHeight="1">
      <c r="B56" s="477"/>
      <c r="C56" s="478"/>
      <c r="D56" s="360" t="s">
        <v>8</v>
      </c>
      <c r="E56" s="45"/>
      <c r="F56" s="45"/>
      <c r="G56" s="45"/>
      <c r="H56" s="45"/>
      <c r="I56" s="45"/>
      <c r="K56" s="425" t="s">
        <v>44</v>
      </c>
      <c r="L56" s="425"/>
      <c r="M56" s="425"/>
      <c r="N56" s="52"/>
    </row>
    <row r="57" spans="2:11" s="24" customFormat="1" ht="12.75">
      <c r="B57" s="477"/>
      <c r="C57" s="478"/>
      <c r="J57" s="30"/>
      <c r="K57" s="30"/>
    </row>
    <row r="58" spans="2:13" s="24" customFormat="1" ht="12.75" customHeight="1">
      <c r="B58" s="477">
        <f>+B54+0.1</f>
        <v>1.5000000000000004</v>
      </c>
      <c r="C58" s="478"/>
      <c r="D58" s="381" t="s">
        <v>93</v>
      </c>
      <c r="E58" s="381"/>
      <c r="F58" s="381"/>
      <c r="G58" s="381"/>
      <c r="H58" s="381"/>
      <c r="I58" s="381"/>
      <c r="J58" s="381"/>
      <c r="K58" s="381"/>
      <c r="L58" s="381"/>
      <c r="M58" s="381"/>
    </row>
    <row r="59" spans="2:11" s="24" customFormat="1" ht="12.75">
      <c r="B59" s="477"/>
      <c r="C59" s="478"/>
      <c r="D59" s="45"/>
      <c r="E59" s="45"/>
      <c r="F59" s="45"/>
      <c r="G59" s="45"/>
      <c r="H59" s="45"/>
      <c r="I59" s="45"/>
      <c r="J59" s="45"/>
      <c r="K59" s="45"/>
    </row>
    <row r="60" spans="2:14" s="24" customFormat="1" ht="12.75" customHeight="1">
      <c r="B60" s="477"/>
      <c r="C60" s="478"/>
      <c r="D60" s="360" t="s">
        <v>8</v>
      </c>
      <c r="E60" s="8"/>
      <c r="F60" s="8"/>
      <c r="G60" s="8"/>
      <c r="H60" s="8"/>
      <c r="I60" s="8"/>
      <c r="K60" s="425" t="s">
        <v>8</v>
      </c>
      <c r="L60" s="425"/>
      <c r="M60" s="425"/>
      <c r="N60" s="52"/>
    </row>
    <row r="61" spans="2:11" s="24" customFormat="1" ht="12.75">
      <c r="B61" s="477"/>
      <c r="C61" s="478"/>
      <c r="D61" s="8"/>
      <c r="E61" s="8"/>
      <c r="F61" s="8"/>
      <c r="G61" s="8"/>
      <c r="H61" s="8"/>
      <c r="I61" s="8"/>
      <c r="J61" s="8"/>
      <c r="K61" s="8"/>
    </row>
    <row r="62" spans="2:13" ht="12.75" customHeight="1">
      <c r="B62" s="477">
        <f>+B58+0.1</f>
        <v>1.6000000000000005</v>
      </c>
      <c r="C62" s="478"/>
      <c r="D62" s="379" t="s">
        <v>94</v>
      </c>
      <c r="E62" s="379"/>
      <c r="F62" s="379"/>
      <c r="G62" s="379"/>
      <c r="H62" s="379"/>
      <c r="I62" s="379"/>
      <c r="J62" s="379"/>
      <c r="K62" s="379"/>
      <c r="L62" s="379"/>
      <c r="M62" s="379"/>
    </row>
    <row r="63" spans="2:13" ht="12.75">
      <c r="B63" s="482"/>
      <c r="C63" s="481"/>
      <c r="D63" s="379"/>
      <c r="E63" s="379"/>
      <c r="F63" s="379"/>
      <c r="G63" s="379"/>
      <c r="H63" s="379"/>
      <c r="I63" s="379"/>
      <c r="J63" s="379"/>
      <c r="K63" s="379"/>
      <c r="L63" s="379"/>
      <c r="M63" s="379"/>
    </row>
    <row r="64" spans="2:13" ht="12.75">
      <c r="B64" s="482"/>
      <c r="C64" s="481"/>
      <c r="D64" s="45"/>
      <c r="E64" s="45"/>
      <c r="F64" s="45"/>
      <c r="G64" s="45"/>
      <c r="H64" s="45"/>
      <c r="I64" s="45"/>
      <c r="J64" s="45"/>
      <c r="K64" s="45"/>
      <c r="L64" s="45"/>
      <c r="M64" s="45"/>
    </row>
    <row r="65" spans="2:14" ht="12.75" customHeight="1">
      <c r="B65" s="482"/>
      <c r="C65" s="481"/>
      <c r="D65" s="360" t="s">
        <v>8</v>
      </c>
      <c r="E65" s="8"/>
      <c r="F65" s="8"/>
      <c r="G65" s="8"/>
      <c r="H65" s="8"/>
      <c r="I65" s="8"/>
      <c r="J65" s="1"/>
      <c r="K65" s="425" t="s">
        <v>8</v>
      </c>
      <c r="L65" s="425"/>
      <c r="M65" s="425"/>
      <c r="N65" s="52"/>
    </row>
    <row r="66" spans="2:3" ht="12.75">
      <c r="B66" s="477"/>
      <c r="C66" s="478"/>
    </row>
    <row r="67" spans="2:13" ht="12.75" customHeight="1">
      <c r="B67" s="477">
        <f>+B62+0.1</f>
        <v>1.7000000000000006</v>
      </c>
      <c r="C67" s="478" t="s">
        <v>20</v>
      </c>
      <c r="D67" s="427" t="s">
        <v>361</v>
      </c>
      <c r="E67" s="427"/>
      <c r="F67" s="427"/>
      <c r="G67" s="427"/>
      <c r="H67" s="427"/>
      <c r="I67" s="427"/>
      <c r="J67" s="427"/>
      <c r="K67" s="427"/>
      <c r="L67" s="427"/>
      <c r="M67" s="427"/>
    </row>
    <row r="68" spans="2:13" ht="12.75">
      <c r="B68" s="482"/>
      <c r="C68" s="481"/>
      <c r="D68" s="427"/>
      <c r="E68" s="427"/>
      <c r="F68" s="427"/>
      <c r="G68" s="427"/>
      <c r="H68" s="427"/>
      <c r="I68" s="427"/>
      <c r="J68" s="427"/>
      <c r="K68" s="427"/>
      <c r="L68" s="427"/>
      <c r="M68" s="427"/>
    </row>
    <row r="69" spans="2:11" ht="12.75">
      <c r="B69" s="482"/>
      <c r="C69" s="481"/>
      <c r="D69" s="426"/>
      <c r="E69" s="426"/>
      <c r="F69" s="426"/>
      <c r="G69" s="426"/>
      <c r="H69" s="426"/>
      <c r="I69" s="426"/>
      <c r="J69" s="426"/>
      <c r="K69" s="426"/>
    </row>
    <row r="70" spans="2:13" ht="12.75" customHeight="1">
      <c r="B70" s="482"/>
      <c r="C70" s="481"/>
      <c r="D70" s="360" t="s">
        <v>8</v>
      </c>
      <c r="E70" s="7"/>
      <c r="F70" s="7"/>
      <c r="G70" s="7"/>
      <c r="H70" s="7"/>
      <c r="I70" s="7"/>
      <c r="J70" s="1"/>
      <c r="K70" s="425" t="s">
        <v>45</v>
      </c>
      <c r="L70" s="425"/>
      <c r="M70" s="425"/>
    </row>
    <row r="71" spans="2:12" ht="12.75">
      <c r="B71" s="477"/>
      <c r="C71" s="478"/>
      <c r="K71" s="425"/>
      <c r="L71" s="425"/>
    </row>
    <row r="72" spans="2:13" ht="12.75" customHeight="1">
      <c r="B72" s="477">
        <f>+B67+0.1</f>
        <v>1.8000000000000007</v>
      </c>
      <c r="C72" s="478" t="s">
        <v>20</v>
      </c>
      <c r="D72" s="426" t="s">
        <v>309</v>
      </c>
      <c r="E72" s="426"/>
      <c r="F72" s="426"/>
      <c r="G72" s="426"/>
      <c r="H72" s="426"/>
      <c r="I72" s="426"/>
      <c r="J72" s="426"/>
      <c r="K72" s="426"/>
      <c r="L72" s="426"/>
      <c r="M72" s="426"/>
    </row>
    <row r="73" spans="2:13" ht="12.75">
      <c r="B73" s="482"/>
      <c r="C73" s="481"/>
      <c r="D73" s="100"/>
      <c r="E73" s="100"/>
      <c r="F73" s="100"/>
      <c r="G73" s="100"/>
      <c r="H73" s="100"/>
      <c r="I73" s="100"/>
      <c r="J73" s="100"/>
      <c r="K73" s="100"/>
      <c r="L73" s="100"/>
      <c r="M73" s="100"/>
    </row>
    <row r="74" spans="2:13" ht="12.75" customHeight="1">
      <c r="B74" s="482"/>
      <c r="C74" s="481"/>
      <c r="D74" s="360" t="s">
        <v>8</v>
      </c>
      <c r="E74" s="7"/>
      <c r="F74" s="7"/>
      <c r="G74" s="7"/>
      <c r="H74" s="7"/>
      <c r="I74" s="7"/>
      <c r="J74" s="1"/>
      <c r="K74" s="425" t="s">
        <v>46</v>
      </c>
      <c r="L74" s="425"/>
      <c r="M74" s="425"/>
    </row>
    <row r="75" spans="2:11" ht="12.75" customHeight="1">
      <c r="B75" s="477"/>
      <c r="C75" s="478"/>
      <c r="D75" s="7"/>
      <c r="E75" s="7"/>
      <c r="F75" s="7"/>
      <c r="G75" s="7"/>
      <c r="H75" s="7"/>
      <c r="I75" s="7"/>
      <c r="J75" s="52"/>
      <c r="K75" s="52"/>
    </row>
    <row r="76" spans="2:18" ht="12.75" customHeight="1">
      <c r="B76" s="477">
        <v>1.9</v>
      </c>
      <c r="C76" s="478"/>
      <c r="D76" s="427" t="s">
        <v>310</v>
      </c>
      <c r="E76" s="427"/>
      <c r="F76" s="427"/>
      <c r="G76" s="427"/>
      <c r="H76" s="427"/>
      <c r="I76" s="427"/>
      <c r="J76" s="427"/>
      <c r="K76" s="427"/>
      <c r="L76" s="427"/>
      <c r="M76" s="427"/>
      <c r="N76" s="46"/>
      <c r="O76" s="46"/>
      <c r="P76" s="46"/>
      <c r="Q76" s="46"/>
      <c r="R76" s="46"/>
    </row>
    <row r="77" spans="2:18" ht="12.75">
      <c r="B77" s="477"/>
      <c r="C77" s="478"/>
      <c r="D77" s="427"/>
      <c r="E77" s="427"/>
      <c r="F77" s="427"/>
      <c r="G77" s="427"/>
      <c r="H77" s="427"/>
      <c r="I77" s="427"/>
      <c r="J77" s="427"/>
      <c r="K77" s="427"/>
      <c r="L77" s="427"/>
      <c r="M77" s="427"/>
      <c r="N77" s="46"/>
      <c r="O77" s="46"/>
      <c r="P77" s="46"/>
      <c r="Q77" s="46"/>
      <c r="R77" s="46"/>
    </row>
    <row r="78" spans="2:18" ht="12.75">
      <c r="B78" s="477"/>
      <c r="C78" s="478"/>
      <c r="D78" s="102"/>
      <c r="E78" s="46"/>
      <c r="F78" s="46"/>
      <c r="G78" s="46"/>
      <c r="H78" s="46"/>
      <c r="I78" s="46"/>
      <c r="J78" s="46"/>
      <c r="K78" s="46"/>
      <c r="L78" s="46"/>
      <c r="M78" s="46"/>
      <c r="N78" s="46"/>
      <c r="O78" s="46"/>
      <c r="P78" s="46"/>
      <c r="Q78" s="46"/>
      <c r="R78" s="46"/>
    </row>
    <row r="79" spans="2:13" ht="12.75" customHeight="1">
      <c r="B79" s="477"/>
      <c r="C79" s="478"/>
      <c r="D79" s="360" t="s">
        <v>8</v>
      </c>
      <c r="E79" s="7"/>
      <c r="F79" s="7"/>
      <c r="G79" s="7"/>
      <c r="H79" s="7"/>
      <c r="I79" s="7"/>
      <c r="J79" s="52"/>
      <c r="K79" s="425" t="s">
        <v>8</v>
      </c>
      <c r="L79" s="425"/>
      <c r="M79" s="425"/>
    </row>
    <row r="80" spans="2:11" ht="12.75" customHeight="1">
      <c r="B80" s="477"/>
      <c r="C80" s="478"/>
      <c r="D80" s="7"/>
      <c r="E80" s="7"/>
      <c r="F80" s="7"/>
      <c r="G80" s="7"/>
      <c r="H80" s="7"/>
      <c r="I80" s="7"/>
      <c r="J80" s="52"/>
      <c r="K80" s="52"/>
    </row>
    <row r="81" spans="2:18" ht="12.75" customHeight="1">
      <c r="B81" s="483">
        <v>1.1</v>
      </c>
      <c r="C81" s="478" t="s">
        <v>20</v>
      </c>
      <c r="D81" s="411" t="s">
        <v>95</v>
      </c>
      <c r="E81" s="411"/>
      <c r="F81" s="411"/>
      <c r="G81" s="411"/>
      <c r="H81" s="411"/>
      <c r="I81" s="411"/>
      <c r="J81" s="411"/>
      <c r="K81" s="411"/>
      <c r="L81" s="411"/>
      <c r="M81" s="411"/>
      <c r="N81" s="104"/>
      <c r="O81" s="104"/>
      <c r="P81" s="104"/>
      <c r="Q81" s="104"/>
      <c r="R81" s="104"/>
    </row>
    <row r="82" spans="2:13" ht="12.75" customHeight="1">
      <c r="B82" s="477"/>
      <c r="C82" s="478"/>
      <c r="D82" s="60"/>
      <c r="E82" s="60"/>
      <c r="F82" s="60"/>
      <c r="G82" s="60"/>
      <c r="H82" s="60"/>
      <c r="I82" s="60"/>
      <c r="J82" s="60"/>
      <c r="K82" s="60"/>
      <c r="L82" s="60"/>
      <c r="M82" s="60"/>
    </row>
    <row r="83" spans="2:13" ht="12.75" customHeight="1">
      <c r="B83" s="477"/>
      <c r="C83" s="478"/>
      <c r="D83" s="360" t="s">
        <v>8</v>
      </c>
      <c r="E83" s="7"/>
      <c r="F83" s="7"/>
      <c r="G83" s="7"/>
      <c r="H83" s="7"/>
      <c r="I83" s="7"/>
      <c r="J83" s="52"/>
      <c r="K83" s="425" t="s">
        <v>101</v>
      </c>
      <c r="L83" s="425"/>
      <c r="M83" s="425"/>
    </row>
    <row r="84" spans="2:13" ht="12.75" customHeight="1">
      <c r="B84" s="477"/>
      <c r="C84" s="478"/>
      <c r="D84" s="7"/>
      <c r="E84" s="7"/>
      <c r="F84" s="7"/>
      <c r="G84" s="7"/>
      <c r="H84" s="7"/>
      <c r="I84" s="7"/>
      <c r="J84" s="52"/>
      <c r="K84" s="52"/>
      <c r="L84" s="52"/>
      <c r="M84" s="52"/>
    </row>
    <row r="85" spans="2:18" ht="25.5" customHeight="1">
      <c r="B85" s="477">
        <v>1.11</v>
      </c>
      <c r="C85" s="479" t="s">
        <v>360</v>
      </c>
      <c r="D85" s="427" t="s">
        <v>313</v>
      </c>
      <c r="E85" s="427"/>
      <c r="F85" s="427"/>
      <c r="G85" s="427"/>
      <c r="H85" s="427"/>
      <c r="I85" s="427"/>
      <c r="J85" s="427"/>
      <c r="K85" s="427"/>
      <c r="L85" s="427"/>
      <c r="M85" s="427"/>
      <c r="N85" s="46"/>
      <c r="O85" s="46"/>
      <c r="P85" s="46"/>
      <c r="Q85" s="46"/>
      <c r="R85" s="46"/>
    </row>
    <row r="86" spans="2:18" ht="12.75">
      <c r="B86" s="477"/>
      <c r="C86" s="478"/>
      <c r="D86" s="427"/>
      <c r="E86" s="427"/>
      <c r="F86" s="427"/>
      <c r="G86" s="427"/>
      <c r="H86" s="427"/>
      <c r="I86" s="427"/>
      <c r="J86" s="427"/>
      <c r="K86" s="427"/>
      <c r="L86" s="427"/>
      <c r="M86" s="427"/>
      <c r="N86" s="46"/>
      <c r="O86" s="46"/>
      <c r="P86" s="46"/>
      <c r="Q86" s="46"/>
      <c r="R86" s="46"/>
    </row>
    <row r="87" spans="2:11" ht="12.75" customHeight="1">
      <c r="B87" s="477"/>
      <c r="C87" s="478"/>
      <c r="D87" s="7"/>
      <c r="E87" s="7"/>
      <c r="F87" s="7"/>
      <c r="G87" s="7"/>
      <c r="H87" s="7"/>
      <c r="I87" s="7"/>
      <c r="J87" s="52"/>
      <c r="K87" s="52"/>
    </row>
    <row r="88" spans="2:13" ht="12.75" customHeight="1">
      <c r="B88" s="477"/>
      <c r="C88" s="478"/>
      <c r="D88" s="360" t="s">
        <v>8</v>
      </c>
      <c r="E88" s="7"/>
      <c r="F88" s="7"/>
      <c r="G88" s="7"/>
      <c r="H88" s="7"/>
      <c r="I88" s="7"/>
      <c r="J88" s="52"/>
      <c r="K88" s="425" t="s">
        <v>102</v>
      </c>
      <c r="L88" s="425"/>
      <c r="M88" s="425"/>
    </row>
    <row r="89" spans="2:11" ht="12.75" customHeight="1">
      <c r="B89" s="477"/>
      <c r="C89" s="478"/>
      <c r="D89" s="7"/>
      <c r="E89" s="7"/>
      <c r="F89" s="7"/>
      <c r="G89" s="7"/>
      <c r="H89" s="7"/>
      <c r="I89" s="7"/>
      <c r="J89" s="52"/>
      <c r="K89" s="52"/>
    </row>
    <row r="90" spans="2:18" ht="12.75" customHeight="1">
      <c r="B90" s="477">
        <v>1.12</v>
      </c>
      <c r="C90" s="479" t="s">
        <v>360</v>
      </c>
      <c r="D90" s="414" t="s">
        <v>96</v>
      </c>
      <c r="E90" s="403"/>
      <c r="F90" s="403"/>
      <c r="G90" s="403"/>
      <c r="H90" s="403"/>
      <c r="I90" s="403"/>
      <c r="J90" s="403"/>
      <c r="K90" s="403"/>
      <c r="L90" s="403"/>
      <c r="M90" s="403"/>
      <c r="N90" s="403"/>
      <c r="O90" s="403"/>
      <c r="P90" s="403"/>
      <c r="Q90" s="403"/>
      <c r="R90" s="403"/>
    </row>
    <row r="91" spans="2:18" ht="12.75" customHeight="1">
      <c r="B91" s="477"/>
      <c r="C91" s="478"/>
      <c r="D91" s="102"/>
      <c r="E91" s="46"/>
      <c r="F91" s="46"/>
      <c r="G91" s="46"/>
      <c r="H91" s="46"/>
      <c r="I91" s="46"/>
      <c r="J91" s="46"/>
      <c r="K91" s="46"/>
      <c r="L91" s="46"/>
      <c r="M91" s="46"/>
      <c r="N91" s="46"/>
      <c r="O91" s="46"/>
      <c r="P91" s="46"/>
      <c r="Q91" s="46"/>
      <c r="R91" s="46"/>
    </row>
    <row r="92" spans="2:13" ht="12.75" customHeight="1">
      <c r="B92" s="477"/>
      <c r="C92" s="478"/>
      <c r="D92" s="360" t="s">
        <v>8</v>
      </c>
      <c r="E92" s="7"/>
      <c r="F92" s="7"/>
      <c r="G92" s="7"/>
      <c r="H92" s="7"/>
      <c r="I92" s="7"/>
      <c r="J92" s="52"/>
      <c r="K92" s="412" t="s">
        <v>103</v>
      </c>
      <c r="L92" s="412"/>
      <c r="M92" s="412"/>
    </row>
    <row r="93" spans="2:11" ht="12.75" customHeight="1">
      <c r="B93" s="477"/>
      <c r="C93" s="478"/>
      <c r="D93" s="7"/>
      <c r="E93" s="7"/>
      <c r="F93" s="7"/>
      <c r="G93" s="7"/>
      <c r="H93" s="7"/>
      <c r="I93" s="7"/>
      <c r="J93" s="52"/>
      <c r="K93" s="52"/>
    </row>
    <row r="94" spans="2:18" ht="12.75" customHeight="1">
      <c r="B94" s="477">
        <v>1.13</v>
      </c>
      <c r="C94" s="479" t="s">
        <v>360</v>
      </c>
      <c r="D94" s="414" t="s">
        <v>97</v>
      </c>
      <c r="E94" s="403"/>
      <c r="F94" s="403"/>
      <c r="G94" s="403"/>
      <c r="H94" s="403"/>
      <c r="I94" s="403"/>
      <c r="J94" s="403"/>
      <c r="K94" s="403"/>
      <c r="L94" s="403"/>
      <c r="M94" s="403"/>
      <c r="N94" s="403"/>
      <c r="O94" s="403"/>
      <c r="P94" s="403"/>
      <c r="Q94" s="403"/>
      <c r="R94" s="403"/>
    </row>
    <row r="95" spans="2:18" ht="12.75" customHeight="1">
      <c r="B95" s="477"/>
      <c r="C95" s="478"/>
      <c r="D95" s="102"/>
      <c r="E95" s="46"/>
      <c r="F95" s="46"/>
      <c r="G95" s="46"/>
      <c r="H95" s="46"/>
      <c r="I95" s="46"/>
      <c r="J95" s="46"/>
      <c r="K95" s="46"/>
      <c r="L95" s="46"/>
      <c r="M95" s="46"/>
      <c r="N95" s="46"/>
      <c r="O95" s="46"/>
      <c r="P95" s="46"/>
      <c r="Q95" s="46"/>
      <c r="R95" s="46"/>
    </row>
    <row r="96" spans="2:13" ht="12.75" customHeight="1">
      <c r="B96" s="477"/>
      <c r="C96" s="478"/>
      <c r="D96" s="360" t="s">
        <v>8</v>
      </c>
      <c r="E96" s="7"/>
      <c r="F96" s="7"/>
      <c r="G96" s="7"/>
      <c r="H96" s="7"/>
      <c r="I96" s="7"/>
      <c r="J96" s="52"/>
      <c r="K96" s="412" t="s">
        <v>104</v>
      </c>
      <c r="L96" s="412"/>
      <c r="M96" s="412"/>
    </row>
    <row r="97" spans="2:13" ht="12.75" customHeight="1">
      <c r="B97" s="477"/>
      <c r="C97" s="478"/>
      <c r="D97" s="7"/>
      <c r="E97" s="7"/>
      <c r="F97" s="7"/>
      <c r="G97" s="7"/>
      <c r="H97" s="7"/>
      <c r="I97" s="7"/>
      <c r="J97" s="52"/>
      <c r="K97" s="52"/>
      <c r="L97" s="52"/>
      <c r="M97" s="52"/>
    </row>
    <row r="98" spans="2:18" ht="12.75" customHeight="1">
      <c r="B98" s="477">
        <v>1.14</v>
      </c>
      <c r="C98" s="478" t="s">
        <v>20</v>
      </c>
      <c r="D98" s="427" t="s">
        <v>98</v>
      </c>
      <c r="E98" s="384"/>
      <c r="F98" s="384"/>
      <c r="G98" s="384"/>
      <c r="H98" s="384"/>
      <c r="I98" s="384"/>
      <c r="J98" s="384"/>
      <c r="K98" s="384"/>
      <c r="L98" s="384"/>
      <c r="M98" s="384"/>
      <c r="N98" s="102"/>
      <c r="O98" s="102"/>
      <c r="P98" s="102"/>
      <c r="Q98" s="102"/>
      <c r="R98" s="102"/>
    </row>
    <row r="99" spans="2:13" ht="12.75" customHeight="1">
      <c r="B99" s="477"/>
      <c r="C99" s="478"/>
      <c r="D99" s="384"/>
      <c r="E99" s="384"/>
      <c r="F99" s="384"/>
      <c r="G99" s="384"/>
      <c r="H99" s="384"/>
      <c r="I99" s="384"/>
      <c r="J99" s="384"/>
      <c r="K99" s="384"/>
      <c r="L99" s="384"/>
      <c r="M99" s="384"/>
    </row>
    <row r="100" spans="2:18" ht="12.75" customHeight="1">
      <c r="B100" s="477"/>
      <c r="C100" s="478"/>
      <c r="D100" s="411" t="s">
        <v>323</v>
      </c>
      <c r="E100" s="411"/>
      <c r="F100" s="411"/>
      <c r="G100" s="103"/>
      <c r="H100" s="103"/>
      <c r="I100" s="103"/>
      <c r="J100" s="103"/>
      <c r="K100" s="103"/>
      <c r="L100" s="103"/>
      <c r="M100" s="103"/>
      <c r="N100" s="103"/>
      <c r="O100" s="103"/>
      <c r="P100" s="103"/>
      <c r="Q100" s="103"/>
      <c r="R100" s="103"/>
    </row>
    <row r="101" spans="2:18" ht="12.75" customHeight="1">
      <c r="B101" s="477"/>
      <c r="C101" s="478"/>
      <c r="D101" s="46"/>
      <c r="E101" s="46"/>
      <c r="F101" s="46"/>
      <c r="G101" s="46"/>
      <c r="H101" s="46"/>
      <c r="I101" s="46"/>
      <c r="J101" s="46"/>
      <c r="K101" s="46"/>
      <c r="L101" s="46"/>
      <c r="M101" s="46"/>
      <c r="N101" s="46"/>
      <c r="O101" s="46"/>
      <c r="P101" s="46"/>
      <c r="Q101" s="46"/>
      <c r="R101" s="46"/>
    </row>
    <row r="102" spans="2:18" ht="12.75" customHeight="1">
      <c r="B102" s="477"/>
      <c r="C102" s="478"/>
      <c r="D102" s="411" t="s">
        <v>324</v>
      </c>
      <c r="E102" s="411"/>
      <c r="F102" s="411"/>
      <c r="G102" s="102"/>
      <c r="H102" s="102"/>
      <c r="I102" s="102"/>
      <c r="J102" s="102"/>
      <c r="K102" s="102"/>
      <c r="L102" s="102"/>
      <c r="M102" s="102"/>
      <c r="N102" s="102"/>
      <c r="O102" s="102"/>
      <c r="P102" s="102"/>
      <c r="Q102" s="102"/>
      <c r="R102" s="102"/>
    </row>
    <row r="103" spans="2:18" ht="12.75" customHeight="1">
      <c r="B103" s="477"/>
      <c r="C103" s="478"/>
      <c r="D103" s="99"/>
      <c r="E103" s="99"/>
      <c r="F103" s="99"/>
      <c r="G103" s="102"/>
      <c r="H103" s="102"/>
      <c r="I103" s="102"/>
      <c r="J103" s="102"/>
      <c r="K103" s="102"/>
      <c r="L103" s="102"/>
      <c r="M103" s="102"/>
      <c r="N103" s="102"/>
      <c r="O103" s="102"/>
      <c r="P103" s="102"/>
      <c r="Q103" s="102"/>
      <c r="R103" s="102"/>
    </row>
    <row r="104" spans="2:18" ht="12.75" customHeight="1">
      <c r="B104" s="477"/>
      <c r="C104" s="478"/>
      <c r="D104" s="360" t="s">
        <v>8</v>
      </c>
      <c r="E104" s="46"/>
      <c r="F104" s="46"/>
      <c r="G104" s="46"/>
      <c r="H104" s="46"/>
      <c r="I104" s="46"/>
      <c r="J104" s="46"/>
      <c r="K104" s="425" t="s">
        <v>105</v>
      </c>
      <c r="L104" s="425"/>
      <c r="M104" s="425"/>
      <c r="O104" s="46"/>
      <c r="P104" s="46"/>
      <c r="Q104" s="46"/>
      <c r="R104" s="46"/>
    </row>
    <row r="105" spans="2:11" ht="12.75" customHeight="1">
      <c r="B105" s="477"/>
      <c r="C105" s="478"/>
      <c r="D105" s="7"/>
      <c r="E105" s="7"/>
      <c r="F105" s="7"/>
      <c r="G105" s="7"/>
      <c r="H105" s="7"/>
      <c r="I105" s="7"/>
      <c r="J105" s="52"/>
      <c r="K105" s="52"/>
    </row>
    <row r="106" spans="2:18" ht="12.75" customHeight="1">
      <c r="B106" s="477">
        <v>1.15</v>
      </c>
      <c r="C106" s="478"/>
      <c r="D106" s="411" t="s">
        <v>99</v>
      </c>
      <c r="E106" s="411"/>
      <c r="F106" s="411"/>
      <c r="G106" s="411"/>
      <c r="H106" s="411"/>
      <c r="I106" s="411"/>
      <c r="J106" s="411"/>
      <c r="K106" s="411"/>
      <c r="L106" s="411"/>
      <c r="M106" s="411"/>
      <c r="N106" s="46"/>
      <c r="O106" s="46"/>
      <c r="P106" s="46"/>
      <c r="Q106" s="46"/>
      <c r="R106" s="46"/>
    </row>
    <row r="107" spans="2:11" ht="12.75" customHeight="1">
      <c r="B107" s="29"/>
      <c r="C107" s="53"/>
      <c r="D107" s="7"/>
      <c r="E107" s="7"/>
      <c r="F107" s="7"/>
      <c r="G107" s="7"/>
      <c r="H107" s="7"/>
      <c r="I107" s="7"/>
      <c r="J107" s="52"/>
      <c r="K107" s="52"/>
    </row>
    <row r="108" spans="3:13" ht="12.75" customHeight="1">
      <c r="C108" s="105"/>
      <c r="D108" s="360" t="s">
        <v>8</v>
      </c>
      <c r="K108" s="425" t="s">
        <v>8</v>
      </c>
      <c r="L108" s="425"/>
      <c r="M108" s="425"/>
    </row>
    <row r="109" spans="3:14" ht="12.75">
      <c r="C109" s="105"/>
      <c r="M109" s="52"/>
      <c r="N109" s="52"/>
    </row>
    <row r="110" spans="2:16" ht="15.75">
      <c r="B110" s="423" t="s">
        <v>24</v>
      </c>
      <c r="C110" s="423"/>
      <c r="D110" s="423"/>
      <c r="E110" s="35"/>
      <c r="F110" s="35"/>
      <c r="G110" s="33"/>
      <c r="H110" s="33"/>
      <c r="I110" s="422" t="s">
        <v>21</v>
      </c>
      <c r="J110" s="422"/>
      <c r="K110" s="422"/>
      <c r="L110" s="422"/>
      <c r="M110" s="422"/>
      <c r="N110" s="101"/>
      <c r="O110" s="101"/>
      <c r="P110" s="101"/>
    </row>
  </sheetData>
  <mergeCells count="46">
    <mergeCell ref="K108:M108"/>
    <mergeCell ref="K88:M88"/>
    <mergeCell ref="K104:M104"/>
    <mergeCell ref="D85:M86"/>
    <mergeCell ref="D102:F102"/>
    <mergeCell ref="D100:F100"/>
    <mergeCell ref="D106:M106"/>
    <mergeCell ref="K96:M96"/>
    <mergeCell ref="D94:R94"/>
    <mergeCell ref="D98:M99"/>
    <mergeCell ref="K4:M4"/>
    <mergeCell ref="D62:M63"/>
    <mergeCell ref="D67:M68"/>
    <mergeCell ref="K83:M83"/>
    <mergeCell ref="K71:L71"/>
    <mergeCell ref="F15:K15"/>
    <mergeCell ref="K56:M56"/>
    <mergeCell ref="D58:M58"/>
    <mergeCell ref="D13:K13"/>
    <mergeCell ref="D18:D20"/>
    <mergeCell ref="D54:M54"/>
    <mergeCell ref="D81:M81"/>
    <mergeCell ref="K92:M92"/>
    <mergeCell ref="D41:K42"/>
    <mergeCell ref="D48:M49"/>
    <mergeCell ref="K51:M51"/>
    <mergeCell ref="D90:R90"/>
    <mergeCell ref="B6:M6"/>
    <mergeCell ref="D8:M9"/>
    <mergeCell ref="K11:M11"/>
    <mergeCell ref="K45:M45"/>
    <mergeCell ref="D16:I16"/>
    <mergeCell ref="D43:E43"/>
    <mergeCell ref="E18:F19"/>
    <mergeCell ref="G18:H19"/>
    <mergeCell ref="I18:I20"/>
    <mergeCell ref="I110:M110"/>
    <mergeCell ref="K60:M60"/>
    <mergeCell ref="K65:M65"/>
    <mergeCell ref="K70:M70"/>
    <mergeCell ref="D69:K69"/>
    <mergeCell ref="D72:M72"/>
    <mergeCell ref="K74:M74"/>
    <mergeCell ref="D76:M77"/>
    <mergeCell ref="K79:M79"/>
    <mergeCell ref="B110:D110"/>
  </mergeCells>
  <hyperlinks>
    <hyperlink ref="K4" location="Índice!B6" display="Volver"/>
    <hyperlink ref="K60" location="Índice!B6" display="Volver"/>
    <hyperlink ref="K104:M104" location="Rta_1.14!B6" display="Ir a respuesta 1.14"/>
    <hyperlink ref="K108:M108" location="Índice!B6" display="Volver al índice"/>
    <hyperlink ref="K11:M11" location="Rta_1.1!B6" display="Ir a respuesta 1.1"/>
    <hyperlink ref="K45:M45" location="Rta_1.2!B6" display="Ir a respuesta 1.2"/>
    <hyperlink ref="K51:M51" location="Rta_1.3!B6" display="Ir a respuesta 1.3"/>
    <hyperlink ref="K56:M56" location="Rta_1.4!B6" display="Ir a respuesta 1.4"/>
    <hyperlink ref="K60:M60" location="Índice!B6" display="Volver al índice"/>
    <hyperlink ref="K65:M65" location="Índice!B6" display="Volver al índice"/>
    <hyperlink ref="K70:M70" location="Rta_1.7!B6" display="Ir a respuesta 1.7"/>
    <hyperlink ref="K74:M74" location="Rta_1.8!B6" display="Ir a respuesta 1.8"/>
    <hyperlink ref="K83:M83" location="Rta_1.10!B6" display="Ir a respuesta 1.10"/>
    <hyperlink ref="K88:M88" location="Rta_1.11!B6" display="Ir a respuesta 1.11"/>
    <hyperlink ref="K92:M92" location="Rta_1.12!B6" display="Ir a respuesta 1.12"/>
    <hyperlink ref="K96:M96" location="Rta_1.13!B6" display="Ir a respuesta 1.13"/>
    <hyperlink ref="K79:M79" location="Índice!B6" display="Volver al índice"/>
    <hyperlink ref="D11" location="Índice!B6" display="Volver a ejercicios"/>
    <hyperlink ref="D45" location="Índice!B6" display="Volver a ejercicios"/>
    <hyperlink ref="D51" location="Índice!B6" display="Volver a ejercicios"/>
    <hyperlink ref="D56" location="Índice!B6" display="Volver a ejercicios"/>
    <hyperlink ref="D60" location="Índice!B6" display="Volver a ejercicios"/>
    <hyperlink ref="D65" location="Índice!B6" display="Volver a ejercicios"/>
    <hyperlink ref="D70" location="Índice!B6" display="Volver a ejercicios"/>
    <hyperlink ref="D74" location="Índice!B6" display="Volver a ejercicios"/>
    <hyperlink ref="D79" location="Índice!B6" display="Volver a ejercicios"/>
    <hyperlink ref="D83" location="Índice!B6" display="Volver a ejercicios"/>
    <hyperlink ref="D88" location="Índice!B6" display="Volver a ejercicios"/>
    <hyperlink ref="D92" location="Índice!B6" display="Volver a ejercicios"/>
    <hyperlink ref="D96" location="Índice!B6" display="Volver a ejercicios"/>
    <hyperlink ref="D104" location="Índice!B6" display="Volver a ejercicios"/>
    <hyperlink ref="D108" location="Índice!B6" display="Volver a ejercicios"/>
  </hyperlinks>
  <printOptions horizontalCentered="1" verticalCentered="1"/>
  <pageMargins left="0.75" right="0.75" top="1" bottom="1" header="0.5" footer="0.5"/>
  <pageSetup horizontalDpi="600" verticalDpi="600" orientation="portrait" scale="77" r:id="rId1"/>
  <headerFooter alignWithMargins="0">
    <oddFooter>&amp;R&amp;A</oddFooter>
  </headerFooter>
  <rowBreaks count="1" manualBreakCount="1">
    <brk id="60" max="13" man="1"/>
  </rowBreaks>
</worksheet>
</file>

<file path=xl/worksheets/sheet20.xml><?xml version="1.0" encoding="utf-8"?>
<worksheet xmlns="http://schemas.openxmlformats.org/spreadsheetml/2006/main" xmlns:r="http://schemas.openxmlformats.org/officeDocument/2006/relationships">
  <dimension ref="A1:K49"/>
  <sheetViews>
    <sheetView showGridLines="0" view="pageBreakPreview" zoomScale="80" zoomScaleSheetLayoutView="80" workbookViewId="0" topLeftCell="A1">
      <selection activeCell="A1" sqref="A1"/>
    </sheetView>
  </sheetViews>
  <sheetFormatPr defaultColWidth="9.140625" defaultRowHeight="12.75"/>
  <cols>
    <col min="1" max="1" width="5.8515625" style="0" customWidth="1"/>
    <col min="2" max="2" width="4.28125" style="0" customWidth="1"/>
    <col min="3" max="6" width="10.7109375" style="363" customWidth="1"/>
    <col min="7" max="9" width="10.7109375" style="0" customWidth="1"/>
    <col min="10" max="11" width="20.7109375" style="0" customWidth="1"/>
    <col min="12" max="12" width="9.57421875" style="0" customWidth="1"/>
  </cols>
  <sheetData>
    <row r="1" ht="12.75">
      <c r="A1" s="192"/>
    </row>
    <row r="2" spans="2:11" ht="12.75">
      <c r="B2" s="59"/>
      <c r="C2" s="59"/>
      <c r="D2" s="59"/>
      <c r="E2" s="59"/>
      <c r="F2" s="59"/>
      <c r="G2" s="59"/>
      <c r="H2" s="59"/>
      <c r="I2" s="59"/>
      <c r="J2" s="59"/>
      <c r="K2" s="59" t="s">
        <v>22</v>
      </c>
    </row>
    <row r="4" spans="3:11" s="6" customFormat="1" ht="12.75">
      <c r="C4" s="361"/>
      <c r="D4" s="361"/>
      <c r="E4" s="361"/>
      <c r="F4" s="361"/>
      <c r="J4" s="25"/>
      <c r="K4" s="25" t="s">
        <v>8</v>
      </c>
    </row>
    <row r="5" spans="3:6" s="6" customFormat="1" ht="12.75">
      <c r="C5" s="361"/>
      <c r="D5" s="361"/>
      <c r="E5" s="361"/>
      <c r="F5" s="361"/>
    </row>
    <row r="6" spans="2:11" s="6" customFormat="1" ht="18.75">
      <c r="B6" s="419" t="s">
        <v>337</v>
      </c>
      <c r="C6" s="419"/>
      <c r="D6" s="419"/>
      <c r="E6" s="419"/>
      <c r="F6" s="419"/>
      <c r="G6" s="419"/>
      <c r="H6" s="419"/>
      <c r="I6" s="419"/>
      <c r="J6" s="419"/>
      <c r="K6" s="419"/>
    </row>
    <row r="7" spans="3:8" s="6" customFormat="1" ht="12.75">
      <c r="C7" s="361"/>
      <c r="D7" s="361"/>
      <c r="E7" s="361"/>
      <c r="F7" s="361"/>
      <c r="G7" s="54"/>
      <c r="H7" s="54"/>
    </row>
    <row r="8" spans="2:8" s="6" customFormat="1" ht="12.75">
      <c r="B8" s="103" t="s">
        <v>338</v>
      </c>
      <c r="C8" s="361"/>
      <c r="D8" s="361"/>
      <c r="E8" s="361"/>
      <c r="F8" s="361"/>
      <c r="G8" s="54"/>
      <c r="H8" s="54"/>
    </row>
    <row r="9" spans="2:8" s="6" customFormat="1" ht="12.75">
      <c r="B9" s="255"/>
      <c r="C9" s="361"/>
      <c r="D9" s="361"/>
      <c r="E9" s="361"/>
      <c r="F9" s="361"/>
      <c r="G9" s="54"/>
      <c r="H9" s="54"/>
    </row>
    <row r="10" spans="2:11" s="6" customFormat="1" ht="12.75">
      <c r="B10" s="475" t="s">
        <v>380</v>
      </c>
      <c r="C10" s="475"/>
      <c r="D10" s="475"/>
      <c r="E10" s="475"/>
      <c r="F10" s="475"/>
      <c r="G10" s="475"/>
      <c r="H10" s="475"/>
      <c r="I10" s="475"/>
      <c r="J10" s="475"/>
      <c r="K10" s="475"/>
    </row>
    <row r="11" spans="2:8" s="6" customFormat="1" ht="12.75">
      <c r="B11" s="255"/>
      <c r="C11" s="361"/>
      <c r="D11" s="361"/>
      <c r="E11" s="361"/>
      <c r="F11" s="361"/>
      <c r="G11" s="54"/>
      <c r="H11" s="54"/>
    </row>
    <row r="12" spans="2:11" s="6" customFormat="1" ht="12.75">
      <c r="B12" s="471" t="s">
        <v>339</v>
      </c>
      <c r="C12" s="472"/>
      <c r="D12" s="472"/>
      <c r="E12" s="472"/>
      <c r="F12" s="472"/>
      <c r="G12" s="472"/>
      <c r="H12" s="472"/>
      <c r="I12" s="472"/>
      <c r="J12" s="472"/>
      <c r="K12" s="472"/>
    </row>
    <row r="13" spans="2:11" s="6" customFormat="1" ht="12.75">
      <c r="B13" s="472"/>
      <c r="C13" s="472"/>
      <c r="D13" s="472"/>
      <c r="E13" s="472"/>
      <c r="F13" s="472"/>
      <c r="G13" s="472"/>
      <c r="H13" s="472"/>
      <c r="I13" s="472"/>
      <c r="J13" s="472"/>
      <c r="K13" s="472"/>
    </row>
    <row r="14" spans="2:11" s="6" customFormat="1" ht="12.75">
      <c r="B14" s="474"/>
      <c r="C14" s="474"/>
      <c r="D14" s="474"/>
      <c r="E14" s="474"/>
      <c r="F14" s="474"/>
      <c r="G14" s="474"/>
      <c r="H14" s="474"/>
      <c r="I14" s="474"/>
      <c r="J14" s="474"/>
      <c r="K14" s="474"/>
    </row>
    <row r="15" spans="2:8" s="6" customFormat="1" ht="12.75">
      <c r="B15" s="255"/>
      <c r="C15" s="361"/>
      <c r="D15" s="361"/>
      <c r="E15" s="361"/>
      <c r="F15" s="361"/>
      <c r="G15" s="54"/>
      <c r="H15" s="54"/>
    </row>
    <row r="16" spans="2:11" s="6" customFormat="1" ht="12.75">
      <c r="B16" s="471" t="s">
        <v>340</v>
      </c>
      <c r="C16" s="472"/>
      <c r="D16" s="472"/>
      <c r="E16" s="472"/>
      <c r="F16" s="472"/>
      <c r="G16" s="472"/>
      <c r="H16" s="472"/>
      <c r="I16" s="472"/>
      <c r="J16" s="472"/>
      <c r="K16" s="472"/>
    </row>
    <row r="17" spans="2:11" s="6" customFormat="1" ht="12.75">
      <c r="B17" s="472"/>
      <c r="C17" s="472"/>
      <c r="D17" s="472"/>
      <c r="E17" s="472"/>
      <c r="F17" s="472"/>
      <c r="G17" s="472"/>
      <c r="H17" s="472"/>
      <c r="I17" s="472"/>
      <c r="J17" s="472"/>
      <c r="K17" s="472"/>
    </row>
    <row r="18" spans="2:8" s="6" customFormat="1" ht="12.75">
      <c r="B18" s="255"/>
      <c r="C18" s="361"/>
      <c r="D18" s="361"/>
      <c r="E18" s="361"/>
      <c r="F18" s="361"/>
      <c r="G18" s="54"/>
      <c r="H18" s="54"/>
    </row>
    <row r="19" spans="2:8" s="6" customFormat="1" ht="12.75">
      <c r="B19" s="103" t="s">
        <v>341</v>
      </c>
      <c r="C19" s="361"/>
      <c r="D19" s="361"/>
      <c r="E19" s="361"/>
      <c r="F19" s="361"/>
      <c r="G19" s="54"/>
      <c r="H19" s="54"/>
    </row>
    <row r="20" spans="2:8" s="6" customFormat="1" ht="12.75">
      <c r="B20" s="255"/>
      <c r="C20" s="361"/>
      <c r="D20" s="361"/>
      <c r="E20" s="361"/>
      <c r="F20" s="361"/>
      <c r="G20" s="54"/>
      <c r="H20" s="54"/>
    </row>
    <row r="21" spans="2:11" s="6" customFormat="1" ht="12.75">
      <c r="B21" s="471" t="s">
        <v>381</v>
      </c>
      <c r="C21" s="472"/>
      <c r="D21" s="472"/>
      <c r="E21" s="472"/>
      <c r="F21" s="472"/>
      <c r="G21" s="472"/>
      <c r="H21" s="472"/>
      <c r="I21" s="472"/>
      <c r="J21" s="472"/>
      <c r="K21" s="472"/>
    </row>
    <row r="22" spans="2:11" s="6" customFormat="1" ht="12.75">
      <c r="B22" s="472"/>
      <c r="C22" s="472"/>
      <c r="D22" s="472"/>
      <c r="E22" s="472"/>
      <c r="F22" s="472"/>
      <c r="G22" s="472"/>
      <c r="H22" s="472"/>
      <c r="I22" s="472"/>
      <c r="J22" s="472"/>
      <c r="K22" s="472"/>
    </row>
    <row r="23" spans="2:11" s="6" customFormat="1" ht="12.75">
      <c r="B23" s="474"/>
      <c r="C23" s="474"/>
      <c r="D23" s="474"/>
      <c r="E23" s="474"/>
      <c r="F23" s="474"/>
      <c r="G23" s="474"/>
      <c r="H23" s="474"/>
      <c r="I23" s="474"/>
      <c r="J23" s="474"/>
      <c r="K23" s="474"/>
    </row>
    <row r="24" spans="2:11" s="6" customFormat="1" ht="12.75">
      <c r="B24" s="474"/>
      <c r="C24" s="474"/>
      <c r="D24" s="474"/>
      <c r="E24" s="474"/>
      <c r="F24" s="474"/>
      <c r="G24" s="474"/>
      <c r="H24" s="474"/>
      <c r="I24" s="474"/>
      <c r="J24" s="474"/>
      <c r="K24" s="474"/>
    </row>
    <row r="25" spans="2:8" s="6" customFormat="1" ht="12.75">
      <c r="B25" s="255"/>
      <c r="C25" s="361"/>
      <c r="D25" s="361"/>
      <c r="E25" s="361"/>
      <c r="F25" s="361"/>
      <c r="G25" s="54"/>
      <c r="H25" s="54"/>
    </row>
    <row r="26" spans="2:11" s="6" customFormat="1" ht="12.75">
      <c r="B26" s="471" t="s">
        <v>342</v>
      </c>
      <c r="C26" s="472"/>
      <c r="D26" s="472"/>
      <c r="E26" s="472"/>
      <c r="F26" s="472"/>
      <c r="G26" s="472"/>
      <c r="H26" s="472"/>
      <c r="I26" s="472"/>
      <c r="J26" s="472"/>
      <c r="K26" s="472"/>
    </row>
    <row r="27" spans="2:11" s="6" customFormat="1" ht="12.75">
      <c r="B27" s="472"/>
      <c r="C27" s="472"/>
      <c r="D27" s="472"/>
      <c r="E27" s="472"/>
      <c r="F27" s="472"/>
      <c r="G27" s="472"/>
      <c r="H27" s="472"/>
      <c r="I27" s="472"/>
      <c r="J27" s="472"/>
      <c r="K27" s="472"/>
    </row>
    <row r="28" spans="2:11" s="6" customFormat="1" ht="12.75">
      <c r="B28" s="472"/>
      <c r="C28" s="472"/>
      <c r="D28" s="472"/>
      <c r="E28" s="472"/>
      <c r="F28" s="472"/>
      <c r="G28" s="472"/>
      <c r="H28" s="472"/>
      <c r="I28" s="472"/>
      <c r="J28" s="472"/>
      <c r="K28" s="472"/>
    </row>
    <row r="29" spans="2:8" s="6" customFormat="1" ht="12.75">
      <c r="B29" s="103"/>
      <c r="C29" s="361"/>
      <c r="D29" s="361"/>
      <c r="E29" s="361"/>
      <c r="F29" s="361"/>
      <c r="G29" s="54"/>
      <c r="H29" s="54"/>
    </row>
    <row r="30" spans="2:8" s="6" customFormat="1" ht="12.75">
      <c r="B30" s="103" t="s">
        <v>343</v>
      </c>
      <c r="C30" s="361"/>
      <c r="D30" s="361"/>
      <c r="E30" s="361"/>
      <c r="F30" s="361"/>
      <c r="G30" s="54"/>
      <c r="H30" s="54"/>
    </row>
    <row r="31" spans="2:8" s="6" customFormat="1" ht="12.75">
      <c r="B31" s="255"/>
      <c r="C31" s="361"/>
      <c r="D31" s="361"/>
      <c r="E31" s="361"/>
      <c r="F31" s="361"/>
      <c r="G31" s="54"/>
      <c r="H31" s="54"/>
    </row>
    <row r="32" spans="2:11" s="6" customFormat="1" ht="12.75">
      <c r="B32" s="473" t="s">
        <v>382</v>
      </c>
      <c r="C32" s="473"/>
      <c r="D32" s="473"/>
      <c r="E32" s="473"/>
      <c r="F32" s="473"/>
      <c r="G32" s="473"/>
      <c r="H32" s="473"/>
      <c r="I32" s="473"/>
      <c r="J32" s="473"/>
      <c r="K32" s="473"/>
    </row>
    <row r="33" spans="2:11" s="6" customFormat="1" ht="12.75">
      <c r="B33" s="473"/>
      <c r="C33" s="473"/>
      <c r="D33" s="473"/>
      <c r="E33" s="473"/>
      <c r="F33" s="473"/>
      <c r="G33" s="473"/>
      <c r="H33" s="473"/>
      <c r="I33" s="473"/>
      <c r="J33" s="473"/>
      <c r="K33" s="473"/>
    </row>
    <row r="34" spans="2:8" s="6" customFormat="1" ht="12.75">
      <c r="B34" s="255"/>
      <c r="C34" s="361"/>
      <c r="D34" s="361"/>
      <c r="E34" s="361"/>
      <c r="F34" s="361"/>
      <c r="G34" s="54"/>
      <c r="H34" s="54"/>
    </row>
    <row r="35" spans="2:11" s="6" customFormat="1" ht="12.75">
      <c r="B35" s="473" t="s">
        <v>383</v>
      </c>
      <c r="C35" s="473"/>
      <c r="D35" s="473"/>
      <c r="E35" s="473"/>
      <c r="F35" s="473"/>
      <c r="G35" s="473"/>
      <c r="H35" s="473"/>
      <c r="I35" s="473"/>
      <c r="J35" s="473"/>
      <c r="K35" s="473"/>
    </row>
    <row r="36" spans="2:11" s="6" customFormat="1" ht="12.75">
      <c r="B36" s="473"/>
      <c r="C36" s="473"/>
      <c r="D36" s="473"/>
      <c r="E36" s="473"/>
      <c r="F36" s="473"/>
      <c r="G36" s="473"/>
      <c r="H36" s="473"/>
      <c r="I36" s="473"/>
      <c r="J36" s="473"/>
      <c r="K36" s="473"/>
    </row>
    <row r="37" spans="3:8" s="6" customFormat="1" ht="12.75">
      <c r="C37" s="361"/>
      <c r="D37" s="361"/>
      <c r="E37" s="361"/>
      <c r="F37" s="361"/>
      <c r="G37" s="54"/>
      <c r="H37" s="54"/>
    </row>
    <row r="38" spans="2:11" s="6" customFormat="1" ht="15.75">
      <c r="B38" s="36" t="s">
        <v>23</v>
      </c>
      <c r="C38" s="362"/>
      <c r="D38" s="362"/>
      <c r="E38" s="362"/>
      <c r="F38" s="362"/>
      <c r="G38" s="35"/>
      <c r="H38" s="35"/>
      <c r="I38" s="422" t="s">
        <v>21</v>
      </c>
      <c r="J38" s="422"/>
      <c r="K38" s="422"/>
    </row>
    <row r="39" spans="3:6" s="6" customFormat="1" ht="12.75">
      <c r="C39" s="361"/>
      <c r="D39" s="361"/>
      <c r="E39" s="361"/>
      <c r="F39" s="361"/>
    </row>
    <row r="40" spans="3:6" s="6" customFormat="1" ht="12.75">
      <c r="C40" s="361"/>
      <c r="D40" s="361"/>
      <c r="E40" s="361"/>
      <c r="F40" s="361"/>
    </row>
    <row r="41" spans="3:6" s="6" customFormat="1" ht="12.75">
      <c r="C41" s="361"/>
      <c r="D41" s="361"/>
      <c r="E41" s="361"/>
      <c r="F41" s="361"/>
    </row>
    <row r="42" spans="3:6" s="6" customFormat="1" ht="12.75">
      <c r="C42" s="361"/>
      <c r="D42" s="361"/>
      <c r="E42" s="361"/>
      <c r="F42" s="361"/>
    </row>
    <row r="43" spans="3:6" s="6" customFormat="1" ht="12.75">
      <c r="C43" s="361"/>
      <c r="D43" s="361"/>
      <c r="E43" s="361"/>
      <c r="F43" s="361"/>
    </row>
    <row r="44" spans="3:6" s="6" customFormat="1" ht="12.75">
      <c r="C44" s="361"/>
      <c r="D44" s="361"/>
      <c r="E44" s="361"/>
      <c r="F44" s="361"/>
    </row>
    <row r="45" spans="3:6" s="6" customFormat="1" ht="12.75">
      <c r="C45" s="361"/>
      <c r="D45" s="361"/>
      <c r="E45" s="361"/>
      <c r="F45" s="361"/>
    </row>
    <row r="46" spans="3:6" s="6" customFormat="1" ht="12.75">
      <c r="C46" s="361"/>
      <c r="D46" s="361"/>
      <c r="E46" s="361"/>
      <c r="F46" s="361"/>
    </row>
    <row r="47" spans="3:6" s="6" customFormat="1" ht="12.75">
      <c r="C47" s="361"/>
      <c r="D47" s="361"/>
      <c r="E47" s="361"/>
      <c r="F47" s="361"/>
    </row>
    <row r="48" spans="3:6" s="6" customFormat="1" ht="12.75">
      <c r="C48" s="361"/>
      <c r="D48" s="361"/>
      <c r="E48" s="361"/>
      <c r="F48" s="361"/>
    </row>
    <row r="49" spans="3:6" s="6" customFormat="1" ht="12.75">
      <c r="C49" s="361"/>
      <c r="D49" s="361"/>
      <c r="E49" s="361"/>
      <c r="F49" s="361"/>
    </row>
  </sheetData>
  <mergeCells count="9">
    <mergeCell ref="I38:K38"/>
    <mergeCell ref="B6:K6"/>
    <mergeCell ref="B26:K28"/>
    <mergeCell ref="B32:K33"/>
    <mergeCell ref="B35:K36"/>
    <mergeCell ref="B12:K14"/>
    <mergeCell ref="B16:K17"/>
    <mergeCell ref="B21:K24"/>
    <mergeCell ref="B10:K10"/>
  </mergeCells>
  <hyperlinks>
    <hyperlink ref="K4" location="Índice!B6" display="Volver al índice"/>
    <hyperlink ref="B10:K10" r:id="rId1" display="Naciones Unidas. http://esa.un.org/unpp/Glossary.html. Explica los conceptos demográficos que se utilizan internacionalmente."/>
    <hyperlink ref="B32:K33" r:id="rId2" display="DANE. Es la fuente oficial de las estadísticas demográficas en Colombia. La información en línea se encuentra en: http://www.dane.gov.co"/>
    <hyperlink ref="B35:K36" r:id="rId3" display="Naciones Unidas. http://esa.un.org/unpp/p2k0data.asp. Contiene estadísticas históricas y proyecciones demográficas por períodos quinquenales para todos los países del mundo. "/>
  </hyperlinks>
  <printOptions horizontalCentered="1" verticalCentered="1"/>
  <pageMargins left="0.75" right="0.75" top="1" bottom="1" header="0.5" footer="0.5"/>
  <pageSetup horizontalDpi="600" verticalDpi="600" orientation="portrait" scale="66" r:id="rId4"/>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showGridLines="0" view="pageBreakPreview" zoomScale="80" zoomScaleSheetLayoutView="80" workbookViewId="0" topLeftCell="A1">
      <selection activeCell="A1" sqref="A1"/>
    </sheetView>
  </sheetViews>
  <sheetFormatPr defaultColWidth="9.140625" defaultRowHeight="12.75"/>
  <cols>
    <col min="1" max="1" width="8.8515625" style="38" customWidth="1"/>
    <col min="2" max="2" width="5.28125" style="38" customWidth="1"/>
    <col min="3" max="16384" width="8.8515625" style="38" customWidth="1"/>
  </cols>
  <sheetData>
    <row r="1" ht="12.75">
      <c r="A1" s="192"/>
    </row>
    <row r="2" spans="4:10" ht="12.75">
      <c r="D2" s="390" t="s">
        <v>22</v>
      </c>
      <c r="E2" s="390"/>
      <c r="F2" s="390"/>
      <c r="G2" s="390"/>
      <c r="H2" s="390"/>
      <c r="I2" s="390"/>
      <c r="J2" s="390"/>
    </row>
    <row r="3" spans="6:10" ht="12.75">
      <c r="F3" s="23"/>
      <c r="G3" s="23"/>
      <c r="H3" s="23"/>
      <c r="I3" s="23"/>
      <c r="J3" s="23"/>
    </row>
    <row r="4" spans="2:10" ht="12.75">
      <c r="B4" s="392" t="s">
        <v>335</v>
      </c>
      <c r="C4" s="392"/>
      <c r="D4" s="392"/>
      <c r="F4" s="23"/>
      <c r="G4" s="23"/>
      <c r="H4" s="23"/>
      <c r="I4" s="378" t="s">
        <v>8</v>
      </c>
      <c r="J4" s="378"/>
    </row>
    <row r="6" spans="2:10" s="39" customFormat="1" ht="18.75">
      <c r="B6" s="419" t="s">
        <v>334</v>
      </c>
      <c r="C6" s="419"/>
      <c r="D6" s="419"/>
      <c r="E6" s="419"/>
      <c r="F6" s="419"/>
      <c r="G6" s="419"/>
      <c r="H6" s="419"/>
      <c r="I6" s="419"/>
      <c r="J6" s="419"/>
    </row>
    <row r="7" s="39" customFormat="1" ht="12.75"/>
    <row r="8" spans="2:10" s="39" customFormat="1" ht="12.75" customHeight="1">
      <c r="B8" s="40" t="s">
        <v>123</v>
      </c>
      <c r="C8" s="391" t="s">
        <v>118</v>
      </c>
      <c r="D8" s="391"/>
      <c r="E8" s="391"/>
      <c r="F8" s="391"/>
      <c r="G8" s="391"/>
      <c r="H8" s="391"/>
      <c r="I8" s="391"/>
      <c r="J8" s="391"/>
    </row>
    <row r="9" spans="3:10" s="39" customFormat="1" ht="15" customHeight="1">
      <c r="C9" s="48"/>
      <c r="D9" s="48"/>
      <c r="E9" s="48"/>
      <c r="F9" s="48"/>
      <c r="G9" s="48"/>
      <c r="H9" s="48"/>
      <c r="I9" s="48"/>
      <c r="J9" s="41"/>
    </row>
    <row r="10" spans="1:11" s="39" customFormat="1" ht="15.75">
      <c r="A10" s="44"/>
      <c r="B10" s="423" t="s">
        <v>24</v>
      </c>
      <c r="C10" s="423"/>
      <c r="D10" s="34"/>
      <c r="E10" s="34"/>
      <c r="F10" s="34"/>
      <c r="G10" s="422" t="s">
        <v>21</v>
      </c>
      <c r="H10" s="422"/>
      <c r="I10" s="422"/>
      <c r="J10" s="422"/>
      <c r="K10" s="43"/>
    </row>
    <row r="11" spans="2:10" s="39" customFormat="1" ht="18.75">
      <c r="B11" s="42"/>
      <c r="C11" s="42"/>
      <c r="D11" s="42"/>
      <c r="E11" s="42"/>
      <c r="F11" s="42"/>
      <c r="G11" s="42"/>
      <c r="H11" s="42"/>
      <c r="I11" s="42"/>
      <c r="J11" s="42"/>
    </row>
    <row r="12" s="39" customFormat="1" ht="12.75"/>
    <row r="13" s="39" customFormat="1" ht="12.75"/>
    <row r="14" s="39" customFormat="1" ht="12.75"/>
    <row r="15" spans="4:11" s="39" customFormat="1" ht="12.75" customHeight="1">
      <c r="D15" s="386"/>
      <c r="E15" s="386"/>
      <c r="F15" s="386"/>
      <c r="G15" s="386"/>
      <c r="H15" s="386"/>
      <c r="I15" s="386"/>
      <c r="J15" s="386"/>
      <c r="K15" s="386"/>
    </row>
    <row r="16" spans="4:11" s="39" customFormat="1" ht="12.75">
      <c r="D16" s="76"/>
      <c r="E16" s="76"/>
      <c r="F16" s="76"/>
      <c r="G16" s="76"/>
      <c r="H16" s="76"/>
      <c r="I16" s="76"/>
      <c r="J16" s="76"/>
      <c r="K16" s="76"/>
    </row>
    <row r="17" spans="4:11" s="39" customFormat="1" ht="12.75">
      <c r="D17" s="388"/>
      <c r="E17" s="388"/>
      <c r="F17" s="388"/>
      <c r="G17" s="75"/>
      <c r="H17" s="75"/>
      <c r="I17" s="388"/>
      <c r="J17" s="388"/>
      <c r="K17" s="387"/>
    </row>
    <row r="18" spans="4:11" s="39" customFormat="1" ht="12.75">
      <c r="D18" s="388"/>
      <c r="E18" s="388"/>
      <c r="F18" s="388"/>
      <c r="G18" s="75"/>
      <c r="H18" s="75"/>
      <c r="I18" s="388"/>
      <c r="J18" s="388"/>
      <c r="K18" s="387"/>
    </row>
    <row r="19" spans="4:11" s="39" customFormat="1" ht="12.75">
      <c r="D19" s="388"/>
      <c r="E19" s="64"/>
      <c r="F19" s="64"/>
      <c r="G19" s="64"/>
      <c r="H19" s="64"/>
      <c r="I19" s="64"/>
      <c r="J19" s="64"/>
      <c r="K19" s="387"/>
    </row>
    <row r="20" spans="4:11" ht="12.75">
      <c r="D20" s="76"/>
      <c r="E20" s="77"/>
      <c r="F20" s="77"/>
      <c r="G20" s="77"/>
      <c r="H20" s="77"/>
      <c r="I20" s="77"/>
      <c r="J20" s="77"/>
      <c r="K20" s="77"/>
    </row>
    <row r="21" spans="4:11" ht="12.75">
      <c r="D21" s="66"/>
      <c r="E21" s="67"/>
      <c r="F21" s="67"/>
      <c r="G21" s="76"/>
      <c r="H21" s="76"/>
      <c r="I21" s="78"/>
      <c r="J21" s="78"/>
      <c r="K21" s="76"/>
    </row>
    <row r="22" spans="4:11" ht="12.75">
      <c r="D22" s="66"/>
      <c r="E22" s="67"/>
      <c r="F22" s="67"/>
      <c r="G22" s="76"/>
      <c r="H22" s="76"/>
      <c r="I22" s="78"/>
      <c r="J22" s="78"/>
      <c r="K22" s="76"/>
    </row>
    <row r="23" spans="4:11" ht="12.75">
      <c r="D23" s="66"/>
      <c r="E23" s="67"/>
      <c r="F23" s="67"/>
      <c r="G23" s="76"/>
      <c r="H23" s="76"/>
      <c r="I23" s="78"/>
      <c r="J23" s="78"/>
      <c r="K23" s="76"/>
    </row>
    <row r="24" spans="4:11" ht="12.75">
      <c r="D24" s="66"/>
      <c r="E24" s="67"/>
      <c r="F24" s="67"/>
      <c r="G24" s="76"/>
      <c r="H24" s="76"/>
      <c r="I24" s="78"/>
      <c r="J24" s="78"/>
      <c r="K24" s="79"/>
    </row>
    <row r="25" spans="4:11" ht="12.75">
      <c r="D25" s="66"/>
      <c r="E25" s="67"/>
      <c r="F25" s="67"/>
      <c r="G25" s="76"/>
      <c r="H25" s="76"/>
      <c r="I25" s="78"/>
      <c r="J25" s="78"/>
      <c r="K25" s="79"/>
    </row>
    <row r="26" spans="4:11" ht="12.75">
      <c r="D26" s="66"/>
      <c r="E26" s="67"/>
      <c r="F26" s="67"/>
      <c r="G26" s="76"/>
      <c r="H26" s="76"/>
      <c r="I26" s="78"/>
      <c r="J26" s="78"/>
      <c r="K26" s="79"/>
    </row>
    <row r="27" spans="4:11" ht="12.75">
      <c r="D27" s="66"/>
      <c r="E27" s="67"/>
      <c r="F27" s="67"/>
      <c r="G27" s="76"/>
      <c r="H27" s="76"/>
      <c r="I27" s="78"/>
      <c r="J27" s="78"/>
      <c r="K27" s="79"/>
    </row>
    <row r="28" spans="4:11" ht="12.75">
      <c r="D28" s="66"/>
      <c r="E28" s="67"/>
      <c r="F28" s="67"/>
      <c r="G28" s="76"/>
      <c r="H28" s="76"/>
      <c r="I28" s="78"/>
      <c r="J28" s="78"/>
      <c r="K28" s="79"/>
    </row>
    <row r="29" spans="4:11" ht="12.75">
      <c r="D29" s="66"/>
      <c r="E29" s="67"/>
      <c r="F29" s="67"/>
      <c r="G29" s="76"/>
      <c r="H29" s="76"/>
      <c r="I29" s="78"/>
      <c r="J29" s="78"/>
      <c r="K29" s="79"/>
    </row>
    <row r="30" spans="4:11" ht="12.75">
      <c r="D30" s="66"/>
      <c r="E30" s="67"/>
      <c r="F30" s="67"/>
      <c r="G30" s="76"/>
      <c r="H30" s="76"/>
      <c r="I30" s="78"/>
      <c r="J30" s="78"/>
      <c r="K30" s="79"/>
    </row>
    <row r="31" spans="4:11" ht="12.75">
      <c r="D31" s="66"/>
      <c r="E31" s="67"/>
      <c r="F31" s="67"/>
      <c r="G31" s="76"/>
      <c r="H31" s="76"/>
      <c r="I31" s="78"/>
      <c r="J31" s="78"/>
      <c r="K31" s="76"/>
    </row>
    <row r="32" spans="4:11" ht="12.75">
      <c r="D32" s="66"/>
      <c r="E32" s="67"/>
      <c r="F32" s="67"/>
      <c r="G32" s="76"/>
      <c r="H32" s="76"/>
      <c r="I32" s="78"/>
      <c r="J32" s="78"/>
      <c r="K32" s="76"/>
    </row>
    <row r="33" spans="4:11" ht="12.75">
      <c r="D33" s="66"/>
      <c r="E33" s="67"/>
      <c r="F33" s="67"/>
      <c r="G33" s="76"/>
      <c r="H33" s="76"/>
      <c r="I33" s="78"/>
      <c r="J33" s="78"/>
      <c r="K33" s="76"/>
    </row>
    <row r="34" spans="4:11" ht="12.75">
      <c r="D34" s="66"/>
      <c r="E34" s="67"/>
      <c r="F34" s="67"/>
      <c r="G34" s="76"/>
      <c r="H34" s="76"/>
      <c r="I34" s="78"/>
      <c r="J34" s="78"/>
      <c r="K34" s="76"/>
    </row>
    <row r="35" spans="4:11" ht="12.75">
      <c r="D35" s="66"/>
      <c r="E35" s="67"/>
      <c r="F35" s="67"/>
      <c r="G35" s="76"/>
      <c r="H35" s="76"/>
      <c r="I35" s="78"/>
      <c r="J35" s="78"/>
      <c r="K35" s="76"/>
    </row>
    <row r="36" spans="4:11" ht="12.75">
      <c r="D36" s="66"/>
      <c r="E36" s="67"/>
      <c r="F36" s="67"/>
      <c r="G36" s="76"/>
      <c r="H36" s="76"/>
      <c r="I36" s="78"/>
      <c r="J36" s="78"/>
      <c r="K36" s="76"/>
    </row>
    <row r="37" spans="4:11" ht="12.75">
      <c r="D37" s="66"/>
      <c r="E37" s="67"/>
      <c r="F37" s="67"/>
      <c r="G37" s="76"/>
      <c r="H37" s="76"/>
      <c r="I37" s="78"/>
      <c r="J37" s="78"/>
      <c r="K37" s="76"/>
    </row>
    <row r="38" spans="4:11" ht="12.75" customHeight="1">
      <c r="D38" s="71"/>
      <c r="E38" s="67"/>
      <c r="F38" s="67"/>
      <c r="G38" s="80"/>
      <c r="H38" s="80"/>
      <c r="I38" s="78"/>
      <c r="J38" s="78"/>
      <c r="K38" s="76"/>
    </row>
    <row r="39" spans="4:11" ht="12.75">
      <c r="D39" s="61"/>
      <c r="E39" s="61"/>
      <c r="F39" s="61"/>
      <c r="G39" s="61"/>
      <c r="H39" s="61"/>
      <c r="I39" s="61"/>
      <c r="J39" s="61"/>
      <c r="K39" s="61"/>
    </row>
    <row r="40" spans="4:11" ht="12.75" customHeight="1">
      <c r="D40" s="385"/>
      <c r="E40" s="385"/>
      <c r="F40" s="61"/>
      <c r="G40" s="61"/>
      <c r="H40" s="61"/>
      <c r="I40" s="61"/>
      <c r="J40" s="61"/>
      <c r="K40" s="61"/>
    </row>
    <row r="41" spans="4:11" ht="12.75">
      <c r="D41" s="76"/>
      <c r="E41" s="76"/>
      <c r="F41" s="76"/>
      <c r="G41" s="76"/>
      <c r="H41" s="76"/>
      <c r="I41" s="76"/>
      <c r="J41" s="76"/>
      <c r="K41" s="76"/>
    </row>
    <row r="42" spans="4:11" ht="12.75">
      <c r="D42" s="389"/>
      <c r="E42" s="389"/>
      <c r="F42" s="389"/>
      <c r="G42" s="389"/>
      <c r="H42" s="389"/>
      <c r="I42" s="389"/>
      <c r="J42" s="389"/>
      <c r="K42" s="389"/>
    </row>
    <row r="43" spans="4:11" ht="12.75">
      <c r="D43" s="389"/>
      <c r="E43" s="389"/>
      <c r="F43" s="389"/>
      <c r="G43" s="389"/>
      <c r="H43" s="389"/>
      <c r="I43" s="389"/>
      <c r="J43" s="389"/>
      <c r="K43" s="389"/>
    </row>
    <row r="44" spans="4:11" ht="12.75">
      <c r="D44" s="385"/>
      <c r="E44" s="385"/>
      <c r="F44" s="61"/>
      <c r="G44" s="61"/>
      <c r="H44" s="61"/>
      <c r="I44" s="61"/>
      <c r="J44" s="61"/>
      <c r="K44" s="61"/>
    </row>
  </sheetData>
  <mergeCells count="15">
    <mergeCell ref="D2:J2"/>
    <mergeCell ref="G10:J10"/>
    <mergeCell ref="B10:C10"/>
    <mergeCell ref="B6:J6"/>
    <mergeCell ref="C8:J8"/>
    <mergeCell ref="I4:J4"/>
    <mergeCell ref="B4:D4"/>
    <mergeCell ref="D44:E44"/>
    <mergeCell ref="D40:E40"/>
    <mergeCell ref="D15:K15"/>
    <mergeCell ref="K17:K19"/>
    <mergeCell ref="D17:D19"/>
    <mergeCell ref="E17:F18"/>
    <mergeCell ref="I17:J18"/>
    <mergeCell ref="D42:K43"/>
  </mergeCells>
  <hyperlinks>
    <hyperlink ref="I4" location="Índice!E7" display="Volver al Índice"/>
    <hyperlink ref="I4:J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7"/>
  <headerFooter alignWithMargins="0">
    <oddFooter>&amp;R&amp;A</oddFooter>
  </headerFooter>
  <legacyDrawing r:id="rId6"/>
  <oleObjects>
    <oleObject progId="Equation.3" shapeId="4869973" r:id="rId1"/>
    <oleObject progId="Equation.3" shapeId="4918494" r:id="rId2"/>
    <oleObject progId="Equation.3" shapeId="4921292" r:id="rId3"/>
    <oleObject progId="Equation.3" shapeId="4922380" r:id="rId4"/>
    <oleObject progId="Equation.3" shapeId="4923147" r:id="rId5"/>
  </oleObjects>
</worksheet>
</file>

<file path=xl/worksheets/sheet4.xml><?xml version="1.0" encoding="utf-8"?>
<worksheet xmlns="http://schemas.openxmlformats.org/spreadsheetml/2006/main" xmlns:r="http://schemas.openxmlformats.org/officeDocument/2006/relationships">
  <dimension ref="A1:S43"/>
  <sheetViews>
    <sheetView showGridLines="0" view="pageBreakPreview" zoomScale="80" zoomScaleSheetLayoutView="80" workbookViewId="0" topLeftCell="A1">
      <selection activeCell="A1" sqref="A1"/>
    </sheetView>
  </sheetViews>
  <sheetFormatPr defaultColWidth="9.140625" defaultRowHeight="12.75"/>
  <cols>
    <col min="1" max="1" width="8.8515625" style="173" customWidth="1"/>
    <col min="2" max="2" width="5.28125" style="173" customWidth="1"/>
    <col min="3" max="3" width="9.7109375" style="173" customWidth="1"/>
    <col min="4" max="4" width="10.28125" style="173" bestFit="1" customWidth="1"/>
    <col min="5" max="5" width="9.8515625" style="173" bestFit="1" customWidth="1"/>
    <col min="6" max="6" width="10.28125" style="173" bestFit="1" customWidth="1"/>
    <col min="7" max="7" width="9.8515625" style="173" bestFit="1" customWidth="1"/>
    <col min="8" max="8" width="7.140625" style="173" bestFit="1" customWidth="1"/>
    <col min="9" max="9" width="0.85546875" style="173" customWidth="1"/>
    <col min="10" max="10" width="10.00390625" style="173" bestFit="1" customWidth="1"/>
    <col min="11" max="11" width="9.8515625" style="173" customWidth="1"/>
    <col min="12" max="16384" width="8.8515625" style="173" customWidth="1"/>
  </cols>
  <sheetData>
    <row r="1" ht="12.75">
      <c r="A1" s="192"/>
    </row>
    <row r="2" spans="12:19" ht="12.75">
      <c r="L2" s="23" t="s">
        <v>22</v>
      </c>
      <c r="M2" s="23"/>
      <c r="N2" s="23"/>
      <c r="O2" s="23"/>
      <c r="P2" s="23"/>
      <c r="Q2" s="23"/>
      <c r="R2" s="23"/>
      <c r="S2" s="23"/>
    </row>
    <row r="3" spans="6:11" ht="12.75">
      <c r="F3" s="23"/>
      <c r="G3" s="23"/>
      <c r="H3" s="23"/>
      <c r="I3" s="23"/>
      <c r="J3" s="23"/>
      <c r="K3" s="23"/>
    </row>
    <row r="4" spans="2:12" ht="12.75">
      <c r="B4" s="392" t="s">
        <v>335</v>
      </c>
      <c r="C4" s="392"/>
      <c r="D4" s="392"/>
      <c r="F4" s="23"/>
      <c r="G4" s="23"/>
      <c r="H4" s="23"/>
      <c r="I4" s="23"/>
      <c r="J4" s="23"/>
      <c r="K4" s="378" t="s">
        <v>8</v>
      </c>
      <c r="L4" s="378"/>
    </row>
    <row r="6" spans="2:12" s="211" customFormat="1" ht="18.75">
      <c r="B6" s="419" t="s">
        <v>334</v>
      </c>
      <c r="C6" s="419"/>
      <c r="D6" s="419"/>
      <c r="E6" s="419"/>
      <c r="F6" s="419"/>
      <c r="G6" s="419"/>
      <c r="H6" s="419"/>
      <c r="I6" s="419"/>
      <c r="J6" s="419"/>
      <c r="K6" s="419"/>
      <c r="L6" s="419"/>
    </row>
    <row r="7" s="211" customFormat="1" ht="12.75"/>
    <row r="8" spans="2:19" s="211" customFormat="1" ht="12.75">
      <c r="B8" s="40" t="s">
        <v>124</v>
      </c>
      <c r="C8" s="393" t="s">
        <v>122</v>
      </c>
      <c r="D8" s="393"/>
      <c r="E8" s="393"/>
      <c r="F8" s="393"/>
      <c r="G8" s="393"/>
      <c r="H8" s="393"/>
      <c r="I8" s="393"/>
      <c r="J8" s="393"/>
      <c r="K8" s="393"/>
      <c r="L8" s="51"/>
      <c r="M8" s="51"/>
      <c r="N8" s="51"/>
      <c r="O8" s="51"/>
      <c r="P8" s="51"/>
      <c r="Q8" s="51"/>
      <c r="R8" s="51"/>
      <c r="S8" s="51"/>
    </row>
    <row r="9" spans="2:19" s="211" customFormat="1" ht="12.75">
      <c r="B9" s="40"/>
      <c r="C9" s="393"/>
      <c r="D9" s="393"/>
      <c r="E9" s="393"/>
      <c r="F9" s="393"/>
      <c r="G9" s="393"/>
      <c r="H9" s="393"/>
      <c r="I9" s="393"/>
      <c r="J9" s="393"/>
      <c r="K9" s="393"/>
      <c r="L9" s="51"/>
      <c r="M9" s="51"/>
      <c r="N9" s="51"/>
      <c r="O9" s="51"/>
      <c r="P9" s="51"/>
      <c r="Q9" s="51"/>
      <c r="R9" s="51"/>
      <c r="S9" s="51"/>
    </row>
    <row r="10" spans="2:19" s="211" customFormat="1" ht="12.75">
      <c r="B10" s="40"/>
      <c r="C10" s="393"/>
      <c r="D10" s="393"/>
      <c r="E10" s="393"/>
      <c r="F10" s="393"/>
      <c r="G10" s="393"/>
      <c r="H10" s="393"/>
      <c r="I10" s="393"/>
      <c r="J10" s="393"/>
      <c r="K10" s="393"/>
      <c r="L10" s="51"/>
      <c r="M10" s="51"/>
      <c r="N10" s="51"/>
      <c r="O10" s="51"/>
      <c r="P10" s="51"/>
      <c r="Q10" s="51"/>
      <c r="R10" s="51"/>
      <c r="S10" s="51"/>
    </row>
    <row r="11" spans="2:19" s="211" customFormat="1" ht="12.75">
      <c r="B11" s="40"/>
      <c r="C11" s="393"/>
      <c r="D11" s="393"/>
      <c r="E11" s="393"/>
      <c r="F11" s="393"/>
      <c r="G11" s="393"/>
      <c r="H11" s="393"/>
      <c r="I11" s="393"/>
      <c r="J11" s="393"/>
      <c r="K11" s="393"/>
      <c r="L11" s="51"/>
      <c r="M11" s="51"/>
      <c r="N11" s="51"/>
      <c r="O11" s="51"/>
      <c r="P11" s="51"/>
      <c r="Q11" s="51"/>
      <c r="R11" s="51"/>
      <c r="S11" s="51"/>
    </row>
    <row r="12" spans="2:19" s="211" customFormat="1" ht="12.75">
      <c r="B12" s="40"/>
      <c r="C12" s="393"/>
      <c r="D12" s="393"/>
      <c r="E12" s="393"/>
      <c r="F12" s="393"/>
      <c r="G12" s="393"/>
      <c r="H12" s="393"/>
      <c r="I12" s="393"/>
      <c r="J12" s="393"/>
      <c r="K12" s="393"/>
      <c r="L12" s="51"/>
      <c r="M12" s="51"/>
      <c r="N12" s="51"/>
      <c r="O12" s="51"/>
      <c r="P12" s="51"/>
      <c r="Q12" s="51"/>
      <c r="R12" s="51"/>
      <c r="S12" s="51"/>
    </row>
    <row r="13" spans="2:19" s="211" customFormat="1" ht="12.75">
      <c r="B13" s="40"/>
      <c r="C13" s="212"/>
      <c r="D13" s="212"/>
      <c r="E13" s="212"/>
      <c r="F13" s="212"/>
      <c r="G13" s="212"/>
      <c r="H13" s="212"/>
      <c r="I13" s="212"/>
      <c r="J13" s="212"/>
      <c r="K13" s="212"/>
      <c r="L13" s="51"/>
      <c r="M13" s="51"/>
      <c r="N13" s="51"/>
      <c r="O13" s="51"/>
      <c r="P13" s="51"/>
      <c r="Q13" s="51"/>
      <c r="R13" s="51"/>
      <c r="S13" s="51"/>
    </row>
    <row r="14" spans="2:19" s="211" customFormat="1" ht="15.75">
      <c r="B14" s="40"/>
      <c r="C14" s="405" t="str">
        <f>Ejercicios!D16</f>
        <v>Población, mortalidad y fecundidad por edades en 1993</v>
      </c>
      <c r="D14" s="405">
        <f>Ejercicios!E16</f>
        <v>0</v>
      </c>
      <c r="E14" s="405">
        <f>Ejercicios!F16</f>
        <v>0</v>
      </c>
      <c r="F14" s="405">
        <f>Ejercicios!G16</f>
        <v>0</v>
      </c>
      <c r="G14" s="405">
        <f>Ejercicios!H16</f>
        <v>0</v>
      </c>
      <c r="H14" s="405">
        <f>Ejercicios!I16</f>
        <v>0</v>
      </c>
      <c r="I14" s="405"/>
      <c r="J14" s="405"/>
      <c r="K14" s="405"/>
      <c r="L14" s="51"/>
      <c r="M14" s="51"/>
      <c r="N14" s="51"/>
      <c r="O14" s="51"/>
      <c r="P14" s="51"/>
      <c r="Q14" s="51"/>
      <c r="R14" s="51"/>
      <c r="S14" s="51"/>
    </row>
    <row r="15" spans="2:19" s="211" customFormat="1" ht="13.5" thickBot="1">
      <c r="B15" s="40"/>
      <c r="C15" s="65"/>
      <c r="D15" s="65"/>
      <c r="E15" s="65"/>
      <c r="F15" s="65"/>
      <c r="G15" s="65"/>
      <c r="H15" s="65"/>
      <c r="I15" s="76"/>
      <c r="J15" s="51"/>
      <c r="K15" s="51"/>
      <c r="L15" s="51"/>
      <c r="M15" s="51"/>
      <c r="N15" s="51"/>
      <c r="O15" s="51"/>
      <c r="P15" s="51"/>
      <c r="Q15" s="51"/>
      <c r="R15" s="51"/>
      <c r="S15" s="51"/>
    </row>
    <row r="16" spans="2:19" s="211" customFormat="1" ht="12.75">
      <c r="B16" s="40"/>
      <c r="C16" s="407" t="str">
        <f>Ejercicios!D18</f>
        <v>Grupos de edad</v>
      </c>
      <c r="D16" s="407" t="str">
        <f>Ejercicios!E18</f>
        <v>Población en 1993*</v>
      </c>
      <c r="E16" s="407">
        <f>Ejercicios!F18</f>
        <v>0</v>
      </c>
      <c r="F16" s="407" t="str">
        <f>Ejercicios!G18</f>
        <v>TEM                                     (por cada mil personas)</v>
      </c>
      <c r="G16" s="407">
        <f>Ejercicios!H18</f>
        <v>0</v>
      </c>
      <c r="H16" s="409" t="str">
        <f>Ejercicios!I18</f>
        <v>TFE (5)</v>
      </c>
      <c r="I16" s="409"/>
      <c r="J16" s="409" t="s">
        <v>120</v>
      </c>
      <c r="K16" s="409" t="s">
        <v>121</v>
      </c>
      <c r="L16" s="51"/>
      <c r="M16" s="51"/>
      <c r="N16" s="51"/>
      <c r="O16" s="51"/>
      <c r="P16" s="51"/>
      <c r="Q16" s="51"/>
      <c r="R16" s="51"/>
      <c r="S16" s="51"/>
    </row>
    <row r="17" spans="2:17" s="211" customFormat="1" ht="13.5" thickBot="1">
      <c r="B17" s="40"/>
      <c r="C17" s="383">
        <f>Ejercicios!D19</f>
        <v>0</v>
      </c>
      <c r="D17" s="408">
        <f>Ejercicios!E19</f>
        <v>0</v>
      </c>
      <c r="E17" s="408">
        <f>Ejercicios!F19</f>
        <v>0</v>
      </c>
      <c r="F17" s="408">
        <f>Ejercicios!G19</f>
        <v>0</v>
      </c>
      <c r="G17" s="408">
        <f>Ejercicios!H19</f>
        <v>0</v>
      </c>
      <c r="H17" s="410">
        <f>Ejercicios!I19</f>
        <v>0</v>
      </c>
      <c r="I17" s="410"/>
      <c r="J17" s="410"/>
      <c r="K17" s="410"/>
      <c r="L17" s="51"/>
      <c r="M17" s="51"/>
      <c r="N17" s="51"/>
      <c r="O17" s="51"/>
      <c r="P17" s="51"/>
      <c r="Q17" s="51"/>
    </row>
    <row r="18" spans="2:17" s="211" customFormat="1" ht="12.75">
      <c r="B18" s="40"/>
      <c r="C18" s="383">
        <f>Ejercicios!D20</f>
        <v>0</v>
      </c>
      <c r="D18" s="89" t="str">
        <f>Ejercicios!E20</f>
        <v>Hombres (1)</v>
      </c>
      <c r="E18" s="89" t="str">
        <f>Ejercicios!F20</f>
        <v>Mujeres (2)</v>
      </c>
      <c r="F18" s="89" t="str">
        <f>Ejercicios!G20</f>
        <v>Hombres (3)</v>
      </c>
      <c r="G18" s="89" t="str">
        <f>Ejercicios!H20</f>
        <v>Mujeres (4)</v>
      </c>
      <c r="H18" s="410">
        <f>Ejercicios!I20</f>
        <v>0</v>
      </c>
      <c r="I18" s="410"/>
      <c r="J18" s="410"/>
      <c r="K18" s="410"/>
      <c r="L18" s="51"/>
      <c r="M18" s="51"/>
      <c r="N18" s="51"/>
      <c r="O18" s="51"/>
      <c r="P18" s="51"/>
      <c r="Q18" s="51"/>
    </row>
    <row r="19" spans="2:17" s="211" customFormat="1" ht="13.5" thickBot="1">
      <c r="B19" s="40"/>
      <c r="C19" s="90"/>
      <c r="D19" s="127"/>
      <c r="E19" s="127"/>
      <c r="F19" s="127"/>
      <c r="G19" s="127"/>
      <c r="H19" s="127"/>
      <c r="I19" s="127"/>
      <c r="J19" s="127"/>
      <c r="K19" s="127"/>
      <c r="L19" s="51"/>
      <c r="M19" s="51"/>
      <c r="N19" s="51"/>
      <c r="O19" s="51"/>
      <c r="P19" s="51"/>
      <c r="Q19" s="51"/>
    </row>
    <row r="20" spans="2:17" s="211" customFormat="1" ht="12.75">
      <c r="B20" s="40"/>
      <c r="C20" s="96" t="str">
        <f>Ejercicios!D22</f>
        <v>0- 4</v>
      </c>
      <c r="D20" s="67">
        <f>Ejercicios!E22</f>
        <v>1914.391</v>
      </c>
      <c r="E20" s="67">
        <f>Ejercicios!F22</f>
        <v>1840.479</v>
      </c>
      <c r="F20" s="69">
        <f>Ejercicios!G22</f>
        <v>7.774375250406004</v>
      </c>
      <c r="G20" s="69">
        <f>Ejercicios!H22</f>
        <v>5.9649169591177085</v>
      </c>
      <c r="H20" s="68"/>
      <c r="I20" s="68"/>
      <c r="J20" s="119">
        <f aca="true" t="shared" si="0" ref="J20:J36">D20*F20</f>
        <v>14883.194010000001</v>
      </c>
      <c r="K20" s="119">
        <f aca="true" t="shared" si="1" ref="K20:K36">E20*G20</f>
        <v>10978.3044</v>
      </c>
      <c r="L20" s="51"/>
      <c r="M20" s="51"/>
      <c r="N20" s="51"/>
      <c r="O20" s="51"/>
      <c r="P20" s="51"/>
      <c r="Q20" s="51"/>
    </row>
    <row r="21" spans="2:17" s="211" customFormat="1" ht="12.75">
      <c r="B21" s="40"/>
      <c r="C21" s="97" t="str">
        <f>Ejercicios!D23</f>
        <v>5-9</v>
      </c>
      <c r="D21" s="92">
        <f>Ejercicios!E23</f>
        <v>1943.375</v>
      </c>
      <c r="E21" s="92">
        <f>Ejercicios!F23</f>
        <v>1873.295</v>
      </c>
      <c r="F21" s="94">
        <f>Ejercicios!G23</f>
        <v>0.75</v>
      </c>
      <c r="G21" s="94">
        <f>Ejercicios!H23</f>
        <v>0.53</v>
      </c>
      <c r="H21" s="93"/>
      <c r="I21" s="93"/>
      <c r="J21" s="120">
        <f t="shared" si="0"/>
        <v>1457.53125</v>
      </c>
      <c r="K21" s="120">
        <f t="shared" si="1"/>
        <v>992.8463500000001</v>
      </c>
      <c r="L21" s="51"/>
      <c r="M21" s="51"/>
      <c r="N21" s="51"/>
      <c r="O21" s="51"/>
      <c r="P21" s="51"/>
      <c r="Q21" s="51"/>
    </row>
    <row r="22" spans="2:17" s="211" customFormat="1" ht="12.75">
      <c r="B22" s="40"/>
      <c r="C22" s="96" t="str">
        <f>Ejercicios!D24</f>
        <v>10-14</v>
      </c>
      <c r="D22" s="67">
        <f>Ejercicios!E24</f>
        <v>1947.256</v>
      </c>
      <c r="E22" s="67">
        <f>Ejercicios!F24</f>
        <v>1893.376</v>
      </c>
      <c r="F22" s="69">
        <f>Ejercicios!G24</f>
        <v>0.7</v>
      </c>
      <c r="G22" s="69">
        <f>Ejercicios!H24</f>
        <v>0.43</v>
      </c>
      <c r="H22" s="68"/>
      <c r="I22" s="68"/>
      <c r="J22" s="119">
        <f t="shared" si="0"/>
        <v>1363.0792</v>
      </c>
      <c r="K22" s="119">
        <f t="shared" si="1"/>
        <v>814.1516799999999</v>
      </c>
      <c r="L22" s="51"/>
      <c r="M22" s="51"/>
      <c r="N22" s="51"/>
      <c r="O22" s="51"/>
      <c r="P22" s="51"/>
      <c r="Q22" s="51"/>
    </row>
    <row r="23" spans="2:17" s="211" customFormat="1" ht="12.75">
      <c r="B23" s="40"/>
      <c r="C23" s="97" t="str">
        <f>Ejercicios!D25</f>
        <v>15-19</v>
      </c>
      <c r="D23" s="92">
        <f>Ejercicios!E25</f>
        <v>1614.187</v>
      </c>
      <c r="E23" s="92">
        <f>Ejercicios!F25</f>
        <v>1687.249</v>
      </c>
      <c r="F23" s="94">
        <f>Ejercicios!G25</f>
        <v>1.82</v>
      </c>
      <c r="G23" s="94">
        <f>Ejercicios!H25</f>
        <v>0.72</v>
      </c>
      <c r="H23" s="95">
        <f>Ejercicios!I25</f>
        <v>110.8</v>
      </c>
      <c r="I23" s="95"/>
      <c r="J23" s="120">
        <f t="shared" si="0"/>
        <v>2937.8203399999998</v>
      </c>
      <c r="K23" s="120">
        <f t="shared" si="1"/>
        <v>1214.81928</v>
      </c>
      <c r="L23" s="51"/>
      <c r="M23" s="51"/>
      <c r="N23" s="51"/>
      <c r="O23" s="51"/>
      <c r="P23" s="51"/>
      <c r="Q23" s="51"/>
    </row>
    <row r="24" spans="2:17" s="211" customFormat="1" ht="12.75">
      <c r="B24" s="40"/>
      <c r="C24" s="96" t="str">
        <f>Ejercicios!D26</f>
        <v>20-24</v>
      </c>
      <c r="D24" s="67">
        <f>Ejercicios!E26</f>
        <v>1508.254</v>
      </c>
      <c r="E24" s="67">
        <f>Ejercicios!F26</f>
        <v>1648.276</v>
      </c>
      <c r="F24" s="69">
        <f>Ejercicios!G26</f>
        <v>3.63</v>
      </c>
      <c r="G24" s="69">
        <f>Ejercicios!H26</f>
        <v>0.92</v>
      </c>
      <c r="H24" s="70">
        <f>Ejercicios!I26</f>
        <v>173</v>
      </c>
      <c r="I24" s="70"/>
      <c r="J24" s="119">
        <f t="shared" si="0"/>
        <v>5474.96202</v>
      </c>
      <c r="K24" s="119">
        <f t="shared" si="1"/>
        <v>1516.4139200000002</v>
      </c>
      <c r="L24" s="51"/>
      <c r="M24" s="51"/>
      <c r="N24" s="51"/>
      <c r="O24" s="51"/>
      <c r="P24" s="51"/>
      <c r="Q24" s="51"/>
    </row>
    <row r="25" spans="2:17" s="211" customFormat="1" ht="12.75">
      <c r="B25" s="40"/>
      <c r="C25" s="97" t="str">
        <f>Ejercicios!D27</f>
        <v>25-29</v>
      </c>
      <c r="D25" s="92">
        <f>Ejercicios!E27</f>
        <v>1420.298</v>
      </c>
      <c r="E25" s="92">
        <f>Ejercicios!F27</f>
        <v>1557.235</v>
      </c>
      <c r="F25" s="94">
        <f>Ejercicios!G27</f>
        <v>4.4</v>
      </c>
      <c r="G25" s="94">
        <f>Ejercicios!H27</f>
        <v>1.13</v>
      </c>
      <c r="H25" s="95">
        <f>Ejercicios!I27</f>
        <v>142.2</v>
      </c>
      <c r="I25" s="95"/>
      <c r="J25" s="120">
        <f t="shared" si="0"/>
        <v>6249.3112</v>
      </c>
      <c r="K25" s="120">
        <f t="shared" si="1"/>
        <v>1759.6755499999997</v>
      </c>
      <c r="L25" s="51"/>
      <c r="M25" s="51"/>
      <c r="N25" s="51"/>
      <c r="O25" s="51"/>
      <c r="P25" s="51"/>
      <c r="Q25" s="51"/>
    </row>
    <row r="26" spans="2:17" s="211" customFormat="1" ht="12.75">
      <c r="B26" s="40"/>
      <c r="C26" s="96" t="str">
        <f>Ejercicios!D28</f>
        <v>30-34</v>
      </c>
      <c r="D26" s="67">
        <f>Ejercicios!E28</f>
        <v>1303.844</v>
      </c>
      <c r="E26" s="67">
        <f>Ejercicios!F28</f>
        <v>1389.426</v>
      </c>
      <c r="F26" s="69">
        <f>Ejercicios!G28</f>
        <v>4.34</v>
      </c>
      <c r="G26" s="69">
        <f>Ejercicios!H28</f>
        <v>1.44</v>
      </c>
      <c r="H26" s="70">
        <f>Ejercicios!I28</f>
        <v>97.3</v>
      </c>
      <c r="I26" s="70"/>
      <c r="J26" s="119">
        <f t="shared" si="0"/>
        <v>5658.68296</v>
      </c>
      <c r="K26" s="119">
        <f t="shared" si="1"/>
        <v>2000.77344</v>
      </c>
      <c r="L26" s="51"/>
      <c r="M26" s="51"/>
      <c r="N26" s="51"/>
      <c r="O26" s="51"/>
      <c r="P26" s="51"/>
      <c r="Q26" s="51"/>
    </row>
    <row r="27" spans="2:17" s="211" customFormat="1" ht="12.75">
      <c r="B27" s="40"/>
      <c r="C27" s="97" t="str">
        <f>Ejercicios!D29</f>
        <v>35-39</v>
      </c>
      <c r="D27" s="92">
        <f>Ejercicios!E29</f>
        <v>1060.353</v>
      </c>
      <c r="E27" s="92">
        <f>Ejercicios!F29</f>
        <v>1159.397</v>
      </c>
      <c r="F27" s="94">
        <f>Ejercicios!G29</f>
        <v>4.24</v>
      </c>
      <c r="G27" s="94">
        <f>Ejercicios!H29</f>
        <v>1.9</v>
      </c>
      <c r="H27" s="95">
        <f>Ejercicios!I29</f>
        <v>55.800000000000004</v>
      </c>
      <c r="I27" s="95"/>
      <c r="J27" s="120">
        <f t="shared" si="0"/>
        <v>4495.896720000001</v>
      </c>
      <c r="K27" s="120">
        <f t="shared" si="1"/>
        <v>2202.8543</v>
      </c>
      <c r="L27" s="51"/>
      <c r="M27" s="51"/>
      <c r="N27" s="51"/>
      <c r="O27" s="51"/>
      <c r="P27" s="51"/>
      <c r="Q27" s="51"/>
    </row>
    <row r="28" spans="2:17" s="211" customFormat="1" ht="12.75">
      <c r="B28" s="40"/>
      <c r="C28" s="96" t="str">
        <f>Ejercicios!D30</f>
        <v>40-44</v>
      </c>
      <c r="D28" s="67">
        <f>Ejercicios!E30</f>
        <v>864.685</v>
      </c>
      <c r="E28" s="67">
        <f>Ejercicios!F30</f>
        <v>871.241</v>
      </c>
      <c r="F28" s="69">
        <f>Ejercicios!G30</f>
        <v>4.93</v>
      </c>
      <c r="G28" s="69">
        <f>Ejercicios!H30</f>
        <v>2.91</v>
      </c>
      <c r="H28" s="70">
        <f>Ejercicios!I30</f>
        <v>21.5</v>
      </c>
      <c r="I28" s="70"/>
      <c r="J28" s="119">
        <f t="shared" si="0"/>
        <v>4262.89705</v>
      </c>
      <c r="K28" s="119">
        <f t="shared" si="1"/>
        <v>2535.31131</v>
      </c>
      <c r="L28" s="51"/>
      <c r="M28" s="51"/>
      <c r="N28" s="51"/>
      <c r="O28" s="51"/>
      <c r="P28" s="51"/>
      <c r="Q28" s="51"/>
    </row>
    <row r="29" spans="2:17" s="211" customFormat="1" ht="12.75">
      <c r="B29" s="40"/>
      <c r="C29" s="97" t="str">
        <f>Ejercicios!D31</f>
        <v>45-49</v>
      </c>
      <c r="D29" s="92">
        <f>Ejercicios!E31</f>
        <v>650.119</v>
      </c>
      <c r="E29" s="92">
        <f>Ejercicios!F31</f>
        <v>673.696</v>
      </c>
      <c r="F29" s="94">
        <f>Ejercicios!G31</f>
        <v>6.62</v>
      </c>
      <c r="G29" s="94">
        <f>Ejercicios!H31</f>
        <v>4.36</v>
      </c>
      <c r="H29" s="95">
        <f>Ejercicios!I31</f>
        <v>6.5</v>
      </c>
      <c r="I29" s="95"/>
      <c r="J29" s="120">
        <f t="shared" si="0"/>
        <v>4303.787780000001</v>
      </c>
      <c r="K29" s="120">
        <f t="shared" si="1"/>
        <v>2937.3145600000003</v>
      </c>
      <c r="L29" s="51"/>
      <c r="M29" s="51"/>
      <c r="N29" s="51"/>
      <c r="O29" s="51"/>
      <c r="P29" s="51"/>
      <c r="Q29" s="51"/>
    </row>
    <row r="30" spans="2:17" s="211" customFormat="1" ht="12.75">
      <c r="B30" s="40"/>
      <c r="C30" s="96" t="str">
        <f>Ejercicios!D32</f>
        <v>50-54</v>
      </c>
      <c r="D30" s="67">
        <f>Ejercicios!E32</f>
        <v>559.518</v>
      </c>
      <c r="E30" s="67">
        <f>Ejercicios!F32</f>
        <v>579.983</v>
      </c>
      <c r="F30" s="69">
        <f>Ejercicios!G32</f>
        <v>8.91</v>
      </c>
      <c r="G30" s="69">
        <f>Ejercicios!H32</f>
        <v>6.66</v>
      </c>
      <c r="H30" s="68"/>
      <c r="I30" s="68"/>
      <c r="J30" s="119">
        <f t="shared" si="0"/>
        <v>4985.305380000001</v>
      </c>
      <c r="K30" s="119">
        <f t="shared" si="1"/>
        <v>3862.6867799999995</v>
      </c>
      <c r="L30" s="51"/>
      <c r="M30" s="51"/>
      <c r="N30" s="51"/>
      <c r="O30" s="51"/>
      <c r="P30" s="51"/>
      <c r="Q30" s="51"/>
    </row>
    <row r="31" spans="2:17" s="211" customFormat="1" ht="12.75">
      <c r="B31" s="40"/>
      <c r="C31" s="97" t="str">
        <f>Ejercicios!D33</f>
        <v>55-59</v>
      </c>
      <c r="D31" s="92">
        <f>Ejercicios!E33</f>
        <v>413.838</v>
      </c>
      <c r="E31" s="92">
        <f>Ejercicios!F33</f>
        <v>441.427</v>
      </c>
      <c r="F31" s="94">
        <f>Ejercicios!G33</f>
        <v>14.33</v>
      </c>
      <c r="G31" s="94">
        <f>Ejercicios!H33</f>
        <v>10.51</v>
      </c>
      <c r="H31" s="93"/>
      <c r="I31" s="93"/>
      <c r="J31" s="120">
        <f t="shared" si="0"/>
        <v>5930.298540000001</v>
      </c>
      <c r="K31" s="120">
        <f t="shared" si="1"/>
        <v>4639.3977700000005</v>
      </c>
      <c r="L31" s="51"/>
      <c r="M31" s="51"/>
      <c r="N31" s="51"/>
      <c r="O31" s="51"/>
      <c r="P31" s="51"/>
      <c r="Q31" s="51"/>
    </row>
    <row r="32" spans="2:17" s="211" customFormat="1" ht="12.75">
      <c r="B32" s="40"/>
      <c r="C32" s="96" t="str">
        <f>Ejercicios!D34</f>
        <v>60-64</v>
      </c>
      <c r="D32" s="67">
        <f>Ejercicios!E34</f>
        <v>388.86</v>
      </c>
      <c r="E32" s="67">
        <f>Ejercicios!F34</f>
        <v>409.374</v>
      </c>
      <c r="F32" s="69">
        <f>Ejercicios!G34</f>
        <v>21.12</v>
      </c>
      <c r="G32" s="69">
        <f>Ejercicios!H34</f>
        <v>15.85</v>
      </c>
      <c r="H32" s="68"/>
      <c r="I32" s="68"/>
      <c r="J32" s="119">
        <f t="shared" si="0"/>
        <v>8212.7232</v>
      </c>
      <c r="K32" s="119">
        <f t="shared" si="1"/>
        <v>6488.5779</v>
      </c>
      <c r="L32" s="51"/>
      <c r="M32" s="51"/>
      <c r="N32" s="51"/>
      <c r="O32" s="51"/>
      <c r="P32" s="51"/>
      <c r="Q32" s="51"/>
    </row>
    <row r="33" spans="2:17" s="211" customFormat="1" ht="12.75">
      <c r="B33" s="40"/>
      <c r="C33" s="97" t="str">
        <f>Ejercicios!D35</f>
        <v>65-69</v>
      </c>
      <c r="D33" s="92">
        <f>Ejercicios!E35</f>
        <v>260.405</v>
      </c>
      <c r="E33" s="92">
        <f>Ejercicios!F35</f>
        <v>279.311</v>
      </c>
      <c r="F33" s="94">
        <f>Ejercicios!G35</f>
        <v>34.57</v>
      </c>
      <c r="G33" s="94">
        <f>Ejercicios!H35</f>
        <v>26.41</v>
      </c>
      <c r="H33" s="93"/>
      <c r="I33" s="93"/>
      <c r="J33" s="120">
        <f t="shared" si="0"/>
        <v>9002.20085</v>
      </c>
      <c r="K33" s="120">
        <f t="shared" si="1"/>
        <v>7376.60351</v>
      </c>
      <c r="L33" s="51"/>
      <c r="M33" s="51"/>
      <c r="N33" s="51"/>
      <c r="O33" s="51"/>
      <c r="P33" s="51"/>
      <c r="Q33" s="51"/>
    </row>
    <row r="34" spans="2:17" s="211" customFormat="1" ht="12.75">
      <c r="B34" s="40"/>
      <c r="C34" s="96" t="str">
        <f>Ejercicios!D36</f>
        <v>70-74</v>
      </c>
      <c r="D34" s="67">
        <f>Ejercicios!E36</f>
        <v>201.401</v>
      </c>
      <c r="E34" s="67">
        <f>Ejercicios!F36</f>
        <v>216.084</v>
      </c>
      <c r="F34" s="69">
        <f>Ejercicios!G36</f>
        <v>51.63</v>
      </c>
      <c r="G34" s="69">
        <f>Ejercicios!H36</f>
        <v>40.98</v>
      </c>
      <c r="H34" s="68"/>
      <c r="I34" s="68"/>
      <c r="J34" s="119">
        <f t="shared" si="0"/>
        <v>10398.333630000001</v>
      </c>
      <c r="K34" s="119">
        <f t="shared" si="1"/>
        <v>8855.122319999999</v>
      </c>
      <c r="L34" s="51"/>
      <c r="M34" s="51"/>
      <c r="N34" s="51"/>
      <c r="O34" s="51"/>
      <c r="P34" s="51"/>
      <c r="Q34" s="51"/>
    </row>
    <row r="35" spans="2:17" s="211" customFormat="1" ht="12.75">
      <c r="B35" s="40"/>
      <c r="C35" s="97" t="str">
        <f>Ejercicios!D37</f>
        <v>75-79</v>
      </c>
      <c r="D35" s="92">
        <f>Ejercicios!E37</f>
        <v>123.908</v>
      </c>
      <c r="E35" s="92">
        <f>Ejercicios!F37</f>
        <v>136.515</v>
      </c>
      <c r="F35" s="94">
        <f>Ejercicios!G37</f>
        <v>76.97</v>
      </c>
      <c r="G35" s="94">
        <f>Ejercicios!H37</f>
        <v>65.43</v>
      </c>
      <c r="H35" s="93"/>
      <c r="I35" s="93"/>
      <c r="J35" s="120">
        <f t="shared" si="0"/>
        <v>9537.19876</v>
      </c>
      <c r="K35" s="120">
        <f t="shared" si="1"/>
        <v>8932.17645</v>
      </c>
      <c r="L35" s="51"/>
      <c r="M35" s="51"/>
      <c r="N35" s="51"/>
      <c r="O35" s="51"/>
      <c r="P35" s="51"/>
      <c r="Q35" s="51"/>
    </row>
    <row r="36" spans="2:17" s="211" customFormat="1" ht="12.75">
      <c r="B36" s="40"/>
      <c r="C36" s="96" t="str">
        <f>Ejercicios!D38</f>
        <v>80+</v>
      </c>
      <c r="D36" s="67">
        <f>Ejercicios!E38</f>
        <v>121.847</v>
      </c>
      <c r="E36" s="67">
        <f>Ejercicios!F38</f>
        <v>156.937</v>
      </c>
      <c r="F36" s="69">
        <f>Ejercicios!G38</f>
        <v>133.11</v>
      </c>
      <c r="G36" s="69">
        <f>Ejercicios!H38</f>
        <v>124.88</v>
      </c>
      <c r="H36" s="68"/>
      <c r="I36" s="68"/>
      <c r="J36" s="119">
        <f t="shared" si="0"/>
        <v>16219.054170000001</v>
      </c>
      <c r="K36" s="119">
        <f t="shared" si="1"/>
        <v>19598.29256</v>
      </c>
      <c r="L36" s="51"/>
      <c r="M36" s="51"/>
      <c r="N36" s="51"/>
      <c r="O36" s="51"/>
      <c r="P36" s="51"/>
      <c r="Q36" s="51"/>
    </row>
    <row r="37" spans="2:17" s="211" customFormat="1" ht="12.75">
      <c r="B37" s="40"/>
      <c r="C37" s="98" t="str">
        <f>Ejercicios!D39</f>
        <v>Total</v>
      </c>
      <c r="D37" s="121">
        <f>Ejercicios!E39</f>
        <v>16296.538999999999</v>
      </c>
      <c r="E37" s="121">
        <f>Ejercicios!F39</f>
        <v>16813.301</v>
      </c>
      <c r="F37" s="122">
        <f>Ejercicios!G39</f>
        <v>0</v>
      </c>
      <c r="G37" s="122">
        <f>Ejercicios!H39</f>
        <v>0</v>
      </c>
      <c r="H37" s="123"/>
      <c r="I37" s="123"/>
      <c r="J37" s="124">
        <f>SUM(J20:J36)</f>
        <v>115372.27706000001</v>
      </c>
      <c r="K37" s="124">
        <f>SUM(K20:K36)</f>
        <v>86705.32208</v>
      </c>
      <c r="L37" s="51"/>
      <c r="M37" s="51"/>
      <c r="N37" s="51"/>
      <c r="O37" s="51"/>
      <c r="P37" s="51"/>
      <c r="Q37" s="51"/>
    </row>
    <row r="38" spans="2:17" s="211" customFormat="1" ht="13.5" thickBot="1">
      <c r="B38" s="40"/>
      <c r="C38" s="112"/>
      <c r="D38" s="112"/>
      <c r="E38" s="112"/>
      <c r="F38" s="112"/>
      <c r="G38" s="112"/>
      <c r="H38" s="112"/>
      <c r="I38" s="112"/>
      <c r="J38" s="112"/>
      <c r="K38" s="112"/>
      <c r="L38" s="213"/>
      <c r="M38" s="51"/>
      <c r="N38" s="51"/>
      <c r="O38" s="51"/>
      <c r="P38" s="51"/>
      <c r="Q38" s="51"/>
    </row>
    <row r="39" spans="2:17" s="211" customFormat="1" ht="12.75">
      <c r="B39" s="40"/>
      <c r="C39" s="115"/>
      <c r="D39" s="83"/>
      <c r="E39" s="83"/>
      <c r="F39" s="84"/>
      <c r="G39" s="84"/>
      <c r="H39" s="82"/>
      <c r="I39" s="82"/>
      <c r="J39" s="213"/>
      <c r="K39" s="117"/>
      <c r="L39" s="213"/>
      <c r="M39" s="51"/>
      <c r="N39" s="51"/>
      <c r="O39" s="51"/>
      <c r="P39" s="51"/>
      <c r="Q39" s="51"/>
    </row>
    <row r="40" spans="3:19" s="211" customFormat="1" ht="18.75">
      <c r="C40" s="118" t="s">
        <v>119</v>
      </c>
      <c r="D40" s="128">
        <f>(J37+K37)/(D37+E37)</f>
        <v>6.103249038352345</v>
      </c>
      <c r="E40" s="82"/>
      <c r="F40" s="82"/>
      <c r="G40" s="82"/>
      <c r="H40" s="82"/>
      <c r="I40" s="82"/>
      <c r="J40" s="82"/>
      <c r="K40" s="82"/>
      <c r="L40" s="213"/>
      <c r="M40" s="51"/>
      <c r="N40" s="51"/>
      <c r="O40" s="51"/>
      <c r="P40" s="51"/>
      <c r="Q40" s="51"/>
      <c r="R40" s="51"/>
      <c r="S40" s="51"/>
    </row>
    <row r="41" spans="3:12" s="211" customFormat="1" ht="12.75">
      <c r="C41" s="85"/>
      <c r="D41" s="85"/>
      <c r="E41" s="85"/>
      <c r="F41" s="85"/>
      <c r="G41" s="85"/>
      <c r="H41" s="85"/>
      <c r="I41" s="85"/>
      <c r="J41" s="85"/>
      <c r="K41" s="85"/>
      <c r="L41" s="214"/>
    </row>
    <row r="42" spans="1:12" s="211" customFormat="1" ht="15.75">
      <c r="A42" s="215"/>
      <c r="B42" s="423" t="s">
        <v>24</v>
      </c>
      <c r="C42" s="423"/>
      <c r="D42" s="34"/>
      <c r="E42" s="34"/>
      <c r="F42" s="34"/>
      <c r="G42" s="422" t="s">
        <v>21</v>
      </c>
      <c r="H42" s="422"/>
      <c r="I42" s="422"/>
      <c r="J42" s="422"/>
      <c r="K42" s="422"/>
      <c r="L42" s="422"/>
    </row>
    <row r="43" spans="2:11" s="211" customFormat="1" ht="18.75">
      <c r="B43" s="42"/>
      <c r="C43" s="42"/>
      <c r="D43" s="42"/>
      <c r="E43" s="42"/>
      <c r="F43" s="42"/>
      <c r="G43" s="42"/>
      <c r="H43" s="42"/>
      <c r="I43" s="42"/>
      <c r="J43" s="42"/>
      <c r="K43" s="42"/>
    </row>
    <row r="44" s="211" customFormat="1" ht="12.75"/>
    <row r="45" s="211" customFormat="1" ht="12.75"/>
    <row r="46" s="211" customFormat="1" ht="12.75"/>
    <row r="47" s="211" customFormat="1" ht="12.75"/>
    <row r="48" s="211" customFormat="1" ht="12.75"/>
    <row r="49" s="211" customFormat="1" ht="12.75"/>
    <row r="50" s="211" customFormat="1" ht="12.75"/>
    <row r="51" s="211" customFormat="1" ht="12.75"/>
  </sheetData>
  <mergeCells count="14">
    <mergeCell ref="K4:L4"/>
    <mergeCell ref="F16:G17"/>
    <mergeCell ref="H16:H18"/>
    <mergeCell ref="B4:D4"/>
    <mergeCell ref="B42:C42"/>
    <mergeCell ref="B6:L6"/>
    <mergeCell ref="G42:L42"/>
    <mergeCell ref="C8:K12"/>
    <mergeCell ref="I16:I18"/>
    <mergeCell ref="J16:J18"/>
    <mergeCell ref="K16:K18"/>
    <mergeCell ref="C14:K14"/>
    <mergeCell ref="C16:C18"/>
    <mergeCell ref="D16:E17"/>
  </mergeCells>
  <hyperlinks>
    <hyperlink ref="K4" location="Índice!E7" display="Volver al Índice"/>
    <hyperlink ref="K4:L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7"/>
  <headerFooter alignWithMargins="0">
    <oddFooter>&amp;R&amp;A</oddFooter>
  </headerFooter>
  <legacyDrawing r:id="rId6"/>
  <oleObjects>
    <oleObject progId="Equation.3" shapeId="711103" r:id="rId1"/>
    <oleObject progId="Equation.3" shapeId="711104" r:id="rId2"/>
    <oleObject progId="Equation.3" shapeId="711105" r:id="rId3"/>
    <oleObject progId="Equation.3" shapeId="711106" r:id="rId4"/>
    <oleObject progId="Equation.3" shapeId="711107" r:id="rId5"/>
  </oleObjects>
</worksheet>
</file>

<file path=xl/worksheets/sheet5.xml><?xml version="1.0" encoding="utf-8"?>
<worksheet xmlns="http://schemas.openxmlformats.org/spreadsheetml/2006/main" xmlns:r="http://schemas.openxmlformats.org/officeDocument/2006/relationships">
  <dimension ref="A1:K30"/>
  <sheetViews>
    <sheetView showGridLines="0" view="pageBreakPreview" zoomScale="80" zoomScaleSheetLayoutView="80" workbookViewId="0" topLeftCell="A1">
      <selection activeCell="A1" sqref="A1"/>
    </sheetView>
  </sheetViews>
  <sheetFormatPr defaultColWidth="9.140625" defaultRowHeight="12.75"/>
  <cols>
    <col min="1" max="1" width="8.8515625" style="9" customWidth="1"/>
    <col min="2" max="2" width="6.8515625" style="9" customWidth="1"/>
    <col min="3" max="4" width="10.28125" style="9" customWidth="1"/>
    <col min="5" max="5" width="19.57421875" style="9" customWidth="1"/>
    <col min="6" max="6" width="10.00390625" style="9" customWidth="1"/>
    <col min="7" max="8" width="17.140625" style="9" customWidth="1"/>
    <col min="9" max="9" width="17.7109375" style="9" customWidth="1"/>
    <col min="10" max="10" width="8.57421875" style="9" customWidth="1"/>
    <col min="11" max="16384" width="8.8515625" style="9" customWidth="1"/>
  </cols>
  <sheetData>
    <row r="1" ht="12.75">
      <c r="A1" s="192"/>
    </row>
    <row r="2" spans="6:10" ht="12.75">
      <c r="F2" s="3"/>
      <c r="G2" s="3"/>
      <c r="H2" s="3"/>
      <c r="J2" s="3" t="s">
        <v>22</v>
      </c>
    </row>
    <row r="4" spans="2:10" s="10" customFormat="1" ht="12.75">
      <c r="B4" s="392" t="s">
        <v>335</v>
      </c>
      <c r="C4" s="392"/>
      <c r="D4" s="392"/>
      <c r="J4" s="25" t="s">
        <v>8</v>
      </c>
    </row>
    <row r="5" s="10" customFormat="1" ht="12.75"/>
    <row r="6" spans="2:10" s="10" customFormat="1" ht="18.75">
      <c r="B6" s="419" t="s">
        <v>334</v>
      </c>
      <c r="C6" s="419"/>
      <c r="D6" s="419"/>
      <c r="E6" s="419"/>
      <c r="F6" s="419"/>
      <c r="G6" s="419"/>
      <c r="H6" s="419"/>
      <c r="I6" s="419"/>
      <c r="J6" s="419"/>
    </row>
    <row r="7" s="10" customFormat="1" ht="12.75"/>
    <row r="8" spans="2:10" s="10" customFormat="1" ht="16.5" thickBot="1">
      <c r="B8" s="11" t="s">
        <v>362</v>
      </c>
      <c r="C8" s="62"/>
      <c r="D8" s="62"/>
      <c r="E8" s="63"/>
      <c r="F8" s="63"/>
      <c r="G8" s="63"/>
      <c r="H8" s="63"/>
      <c r="I8" s="63"/>
      <c r="J8" s="55"/>
    </row>
    <row r="9" spans="3:10" s="10" customFormat="1" ht="25.5">
      <c r="C9" s="394" t="s">
        <v>126</v>
      </c>
      <c r="D9" s="394"/>
      <c r="E9" s="126" t="s">
        <v>127</v>
      </c>
      <c r="F9" s="372" t="s">
        <v>128</v>
      </c>
      <c r="G9" s="394" t="s">
        <v>52</v>
      </c>
      <c r="H9" s="394" t="s">
        <v>351</v>
      </c>
      <c r="I9" s="126" t="s">
        <v>129</v>
      </c>
      <c r="J9" s="327"/>
    </row>
    <row r="10" spans="3:10" s="10" customFormat="1" ht="14.25">
      <c r="C10" s="357" t="s">
        <v>348</v>
      </c>
      <c r="D10" s="357" t="s">
        <v>349</v>
      </c>
      <c r="E10" s="125" t="s">
        <v>350</v>
      </c>
      <c r="F10" s="373"/>
      <c r="G10" s="374"/>
      <c r="H10" s="395"/>
      <c r="I10" s="357" t="s">
        <v>352</v>
      </c>
      <c r="J10" s="328"/>
    </row>
    <row r="11" spans="3:10" s="10" customFormat="1" ht="26.25" thickBot="1">
      <c r="C11" s="131" t="s">
        <v>307</v>
      </c>
      <c r="D11" s="131" t="s">
        <v>306</v>
      </c>
      <c r="E11" s="131" t="s">
        <v>130</v>
      </c>
      <c r="F11" s="131" t="s">
        <v>57</v>
      </c>
      <c r="G11" s="131" t="s">
        <v>125</v>
      </c>
      <c r="H11" s="131" t="s">
        <v>131</v>
      </c>
      <c r="I11" s="131" t="s">
        <v>132</v>
      </c>
      <c r="J11" s="325"/>
    </row>
    <row r="12" spans="3:10" s="10" customFormat="1" ht="12.75">
      <c r="C12" s="88">
        <v>50</v>
      </c>
      <c r="D12" s="88">
        <f>C12+5</f>
        <v>55</v>
      </c>
      <c r="E12" s="237">
        <v>1000</v>
      </c>
      <c r="F12" s="330">
        <v>8.91</v>
      </c>
      <c r="G12" s="331">
        <f aca="true" t="shared" si="0" ref="G12:G20">(1-F12/1000)^5</f>
        <v>0.9562368389764871</v>
      </c>
      <c r="H12" s="331">
        <f>E12*G12</f>
        <v>956.2368389764871</v>
      </c>
      <c r="I12" s="332">
        <f>E12*2.5+H12*2.5</f>
        <v>4890.592097441218</v>
      </c>
      <c r="J12" s="324"/>
    </row>
    <row r="13" spans="3:10" s="10" customFormat="1" ht="12.75">
      <c r="C13" s="264">
        <f>C12+5</f>
        <v>55</v>
      </c>
      <c r="D13" s="264">
        <f aca="true" t="shared" si="1" ref="D13:D21">C13+5</f>
        <v>60</v>
      </c>
      <c r="E13" s="238">
        <f>H12</f>
        <v>956.2368389764871</v>
      </c>
      <c r="F13" s="334">
        <v>14.33</v>
      </c>
      <c r="G13" s="335">
        <f t="shared" si="0"/>
        <v>0.930374272739214</v>
      </c>
      <c r="H13" s="335">
        <f aca="true" t="shared" si="2" ref="H13:H21">E13*G13</f>
        <v>889.6581536291941</v>
      </c>
      <c r="I13" s="239">
        <f aca="true" t="shared" si="3" ref="I13:I21">E13*2.5+H13*2.5</f>
        <v>4614.737481514203</v>
      </c>
      <c r="J13" s="324"/>
    </row>
    <row r="14" spans="3:10" s="10" customFormat="1" ht="12.75">
      <c r="C14" s="88">
        <f aca="true" t="shared" si="4" ref="C14:C21">C13+5</f>
        <v>60</v>
      </c>
      <c r="D14" s="88">
        <f t="shared" si="1"/>
        <v>65</v>
      </c>
      <c r="E14" s="237">
        <f aca="true" t="shared" si="5" ref="E14:E21">H13</f>
        <v>889.6581536291941</v>
      </c>
      <c r="F14" s="330">
        <v>21.12</v>
      </c>
      <c r="G14" s="331">
        <f t="shared" si="0"/>
        <v>0.8987673279312278</v>
      </c>
      <c r="H14" s="331">
        <f t="shared" si="2"/>
        <v>799.5956815095406</v>
      </c>
      <c r="I14" s="332">
        <f t="shared" si="3"/>
        <v>4223.134587846836</v>
      </c>
      <c r="J14" s="324"/>
    </row>
    <row r="15" spans="3:10" s="10" customFormat="1" ht="12.75">
      <c r="C15" s="264">
        <f t="shared" si="4"/>
        <v>65</v>
      </c>
      <c r="D15" s="264">
        <f t="shared" si="1"/>
        <v>70</v>
      </c>
      <c r="E15" s="238">
        <f t="shared" si="5"/>
        <v>799.5956815095406</v>
      </c>
      <c r="F15" s="334">
        <v>34.57</v>
      </c>
      <c r="G15" s="335">
        <f t="shared" si="0"/>
        <v>0.8386947999158219</v>
      </c>
      <c r="H15" s="335">
        <f t="shared" si="2"/>
        <v>670.6167401171994</v>
      </c>
      <c r="I15" s="239">
        <f t="shared" si="3"/>
        <v>3675.5310540668497</v>
      </c>
      <c r="J15" s="324"/>
    </row>
    <row r="16" spans="3:10" s="10" customFormat="1" ht="12.75">
      <c r="C16" s="88">
        <f t="shared" si="4"/>
        <v>70</v>
      </c>
      <c r="D16" s="88">
        <f t="shared" si="1"/>
        <v>75</v>
      </c>
      <c r="E16" s="237">
        <f t="shared" si="5"/>
        <v>670.6167401171994</v>
      </c>
      <c r="F16" s="330">
        <v>51.63</v>
      </c>
      <c r="G16" s="331">
        <f t="shared" si="0"/>
        <v>0.7671654521074028</v>
      </c>
      <c r="H16" s="331">
        <f t="shared" si="2"/>
        <v>514.473994622804</v>
      </c>
      <c r="I16" s="332">
        <f t="shared" si="3"/>
        <v>2962.726836850008</v>
      </c>
      <c r="J16" s="324"/>
    </row>
    <row r="17" spans="3:10" s="10" customFormat="1" ht="12.75">
      <c r="C17" s="264">
        <f t="shared" si="4"/>
        <v>75</v>
      </c>
      <c r="D17" s="264">
        <f t="shared" si="1"/>
        <v>80</v>
      </c>
      <c r="E17" s="238">
        <f t="shared" si="5"/>
        <v>514.473994622804</v>
      </c>
      <c r="F17" s="334">
        <v>76.97</v>
      </c>
      <c r="G17" s="335">
        <f t="shared" si="0"/>
        <v>0.6700066029512035</v>
      </c>
      <c r="H17" s="335">
        <f t="shared" si="2"/>
        <v>344.7009734439606</v>
      </c>
      <c r="I17" s="239">
        <f t="shared" si="3"/>
        <v>2147.9374201669116</v>
      </c>
      <c r="J17" s="324"/>
    </row>
    <row r="18" spans="3:10" s="10" customFormat="1" ht="12.75">
      <c r="C18" s="88">
        <f t="shared" si="4"/>
        <v>80</v>
      </c>
      <c r="D18" s="88">
        <f t="shared" si="1"/>
        <v>85</v>
      </c>
      <c r="E18" s="237">
        <f t="shared" si="5"/>
        <v>344.7009734439606</v>
      </c>
      <c r="F18" s="330">
        <v>133.11</v>
      </c>
      <c r="G18" s="331">
        <f t="shared" si="0"/>
        <v>0.48957582666254384</v>
      </c>
      <c r="H18" s="331">
        <f t="shared" si="2"/>
        <v>168.7572640252106</v>
      </c>
      <c r="I18" s="332">
        <f t="shared" si="3"/>
        <v>1283.645593672928</v>
      </c>
      <c r="J18" s="324"/>
    </row>
    <row r="19" spans="3:10" s="10" customFormat="1" ht="12.75">
      <c r="C19" s="264">
        <f t="shared" si="4"/>
        <v>85</v>
      </c>
      <c r="D19" s="264">
        <f t="shared" si="1"/>
        <v>90</v>
      </c>
      <c r="E19" s="238">
        <f t="shared" si="5"/>
        <v>168.7572640252106</v>
      </c>
      <c r="F19" s="334">
        <v>133.11</v>
      </c>
      <c r="G19" s="335">
        <f t="shared" si="0"/>
        <v>0.48957582666254384</v>
      </c>
      <c r="H19" s="335">
        <f t="shared" si="2"/>
        <v>82.61947704045164</v>
      </c>
      <c r="I19" s="239">
        <f t="shared" si="3"/>
        <v>628.4418526641556</v>
      </c>
      <c r="J19" s="324"/>
    </row>
    <row r="20" spans="1:11" s="10" customFormat="1" ht="12.75" customHeight="1">
      <c r="A20" s="12"/>
      <c r="C20" s="88">
        <f t="shared" si="4"/>
        <v>90</v>
      </c>
      <c r="D20" s="88">
        <f t="shared" si="1"/>
        <v>95</v>
      </c>
      <c r="E20" s="237">
        <f t="shared" si="5"/>
        <v>82.61947704045164</v>
      </c>
      <c r="F20" s="330">
        <v>133.11</v>
      </c>
      <c r="G20" s="331">
        <f t="shared" si="0"/>
        <v>0.48957582666254384</v>
      </c>
      <c r="H20" s="331">
        <f t="shared" si="2"/>
        <v>40.44849877050618</v>
      </c>
      <c r="I20" s="332">
        <f t="shared" si="3"/>
        <v>307.66993952739455</v>
      </c>
      <c r="J20" s="324"/>
      <c r="K20" s="129"/>
    </row>
    <row r="21" spans="1:11" s="10" customFormat="1" ht="12.75" customHeight="1">
      <c r="A21" s="12"/>
      <c r="B21" s="12"/>
      <c r="C21" s="264">
        <f t="shared" si="4"/>
        <v>95</v>
      </c>
      <c r="D21" s="264">
        <f t="shared" si="1"/>
        <v>100</v>
      </c>
      <c r="E21" s="238">
        <f t="shared" si="5"/>
        <v>40.44849877050618</v>
      </c>
      <c r="F21" s="334">
        <v>133.11</v>
      </c>
      <c r="G21" s="335">
        <v>0</v>
      </c>
      <c r="H21" s="335">
        <f t="shared" si="2"/>
        <v>0</v>
      </c>
      <c r="I21" s="239">
        <f t="shared" si="3"/>
        <v>101.12124692626544</v>
      </c>
      <c r="J21" s="324"/>
      <c r="K21" s="130"/>
    </row>
    <row r="22" spans="1:11" s="10" customFormat="1" ht="15" customHeight="1" thickBot="1">
      <c r="A22" s="12"/>
      <c r="B22" s="12"/>
      <c r="C22" s="375" t="s">
        <v>133</v>
      </c>
      <c r="D22" s="375"/>
      <c r="E22" s="375"/>
      <c r="F22" s="375"/>
      <c r="G22" s="375"/>
      <c r="H22" s="375"/>
      <c r="I22" s="333">
        <f>+SUM(I12:I21)</f>
        <v>24835.53811067677</v>
      </c>
      <c r="J22" s="326"/>
      <c r="K22" s="130"/>
    </row>
    <row r="23" spans="1:11" s="10" customFormat="1" ht="15" customHeight="1">
      <c r="A23" s="12"/>
      <c r="B23" s="12"/>
      <c r="C23" s="51"/>
      <c r="D23" s="51"/>
      <c r="E23"/>
      <c r="F23"/>
      <c r="G23"/>
      <c r="H23"/>
      <c r="I23"/>
      <c r="J23"/>
      <c r="K23" s="130"/>
    </row>
    <row r="24" spans="1:11" s="10" customFormat="1" ht="15" customHeight="1">
      <c r="A24" s="12"/>
      <c r="B24" s="12"/>
      <c r="C24" s="376" t="s">
        <v>134</v>
      </c>
      <c r="D24" s="376"/>
      <c r="E24" s="376"/>
      <c r="F24" s="376"/>
      <c r="G24" s="376"/>
      <c r="H24" s="376"/>
      <c r="I24" s="376"/>
      <c r="J24" s="376"/>
      <c r="K24" s="130"/>
    </row>
    <row r="25" spans="1:11" s="10" customFormat="1" ht="15" customHeight="1">
      <c r="A25" s="12"/>
      <c r="B25" s="12"/>
      <c r="C25" s="86"/>
      <c r="D25" s="86"/>
      <c r="E25"/>
      <c r="F25"/>
      <c r="G25"/>
      <c r="H25" s="38"/>
      <c r="I25" s="55"/>
      <c r="J25" s="38"/>
      <c r="K25" s="130"/>
    </row>
    <row r="26" spans="1:11" s="10" customFormat="1" ht="13.5" customHeight="1">
      <c r="A26" s="12"/>
      <c r="B26" s="12"/>
      <c r="C26"/>
      <c r="D26"/>
      <c r="E26"/>
      <c r="F26"/>
      <c r="G26"/>
      <c r="H26" s="38"/>
      <c r="I26" s="329"/>
      <c r="J26" s="39"/>
      <c r="K26" s="130"/>
    </row>
    <row r="27" spans="1:11" s="10" customFormat="1" ht="13.5" customHeight="1">
      <c r="A27" s="12"/>
      <c r="B27" s="12"/>
      <c r="C27"/>
      <c r="D27"/>
      <c r="E27"/>
      <c r="F27"/>
      <c r="G27"/>
      <c r="H27" s="38"/>
      <c r="I27" s="329"/>
      <c r="J27" s="39"/>
      <c r="K27" s="130"/>
    </row>
    <row r="28" spans="1:11" s="10" customFormat="1" ht="13.5" customHeight="1">
      <c r="A28" s="12"/>
      <c r="B28" s="12"/>
      <c r="C28"/>
      <c r="D28"/>
      <c r="E28"/>
      <c r="F28"/>
      <c r="G28"/>
      <c r="H28" s="38"/>
      <c r="I28" s="329"/>
      <c r="J28" s="39"/>
      <c r="K28" s="130"/>
    </row>
    <row r="29" spans="1:11" s="10" customFormat="1" ht="13.5" customHeight="1">
      <c r="A29" s="12"/>
      <c r="B29" s="12"/>
      <c r="C29"/>
      <c r="D29"/>
      <c r="E29"/>
      <c r="F29"/>
      <c r="G29"/>
      <c r="H29" s="38"/>
      <c r="I29" s="329"/>
      <c r="J29" s="39"/>
      <c r="K29" s="130"/>
    </row>
    <row r="30" spans="1:10" s="10" customFormat="1" ht="15.75">
      <c r="A30" s="12"/>
      <c r="B30" s="36" t="s">
        <v>24</v>
      </c>
      <c r="C30" s="35"/>
      <c r="D30" s="35"/>
      <c r="E30" s="35"/>
      <c r="F30" s="35"/>
      <c r="G30" s="422" t="s">
        <v>21</v>
      </c>
      <c r="H30" s="422"/>
      <c r="I30" s="422"/>
      <c r="J30" s="422"/>
    </row>
    <row r="31" s="10" customFormat="1" ht="12.75"/>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sheetData>
  <mergeCells count="9">
    <mergeCell ref="B4:D4"/>
    <mergeCell ref="H9:H10"/>
    <mergeCell ref="C9:D9"/>
    <mergeCell ref="G30:J30"/>
    <mergeCell ref="B6:J6"/>
    <mergeCell ref="F9:F10"/>
    <mergeCell ref="G9:G10"/>
    <mergeCell ref="C22:H22"/>
    <mergeCell ref="C24:J24"/>
  </mergeCells>
  <hyperlinks>
    <hyperlink ref="J4" location="Índice!B6" display="Volver"/>
    <hyperlink ref="B4" location="Ejercicios!B6" display="Volver a ejercicios"/>
  </hyperlinks>
  <printOptions horizontalCentered="1" verticalCentered="1"/>
  <pageMargins left="0.75" right="0.75" top="1" bottom="1" header="0.5" footer="0.5"/>
  <pageSetup horizontalDpi="600" verticalDpi="600" orientation="landscape" scale="68" r:id="rId3"/>
  <headerFooter alignWithMargins="0">
    <oddFooter>&amp;R&amp;A</oddFooter>
  </headerFooter>
  <legacyDrawing r:id="rId2"/>
  <oleObjects>
    <oleObject progId="Equation.3" shapeId="4379743" r:id="rId1"/>
  </oleObjects>
</worksheet>
</file>

<file path=xl/worksheets/sheet6.xml><?xml version="1.0" encoding="utf-8"?>
<worksheet xmlns="http://schemas.openxmlformats.org/spreadsheetml/2006/main" xmlns:r="http://schemas.openxmlformats.org/officeDocument/2006/relationships">
  <dimension ref="A1:Q11"/>
  <sheetViews>
    <sheetView showGridLines="0" view="pageBreakPreview" zoomScale="80" zoomScaleSheetLayoutView="80" workbookViewId="0" topLeftCell="A1">
      <selection activeCell="A1" sqref="A1"/>
    </sheetView>
  </sheetViews>
  <sheetFormatPr defaultColWidth="9.140625" defaultRowHeight="12.75"/>
  <cols>
    <col min="1" max="1" width="8.8515625" style="9" customWidth="1"/>
    <col min="2" max="2" width="5.421875" style="9" customWidth="1"/>
    <col min="3" max="4" width="10.28125" style="9" customWidth="1"/>
    <col min="5" max="5" width="10.00390625" style="9" customWidth="1"/>
    <col min="6" max="6" width="11.421875" style="9" customWidth="1"/>
    <col min="7" max="7" width="12.28125" style="9" customWidth="1"/>
    <col min="8" max="16384" width="8.8515625" style="9" customWidth="1"/>
  </cols>
  <sheetData>
    <row r="1" ht="12.75">
      <c r="A1" s="192"/>
    </row>
    <row r="2" spans="4:9" ht="12.75">
      <c r="D2" s="377" t="s">
        <v>22</v>
      </c>
      <c r="E2" s="377"/>
      <c r="F2" s="377"/>
      <c r="G2" s="377"/>
      <c r="H2" s="377"/>
      <c r="I2" s="377"/>
    </row>
    <row r="4" spans="2:9" s="10" customFormat="1" ht="12.75">
      <c r="B4" s="392" t="s">
        <v>335</v>
      </c>
      <c r="C4" s="392"/>
      <c r="D4" s="392"/>
      <c r="H4" s="378" t="s">
        <v>8</v>
      </c>
      <c r="I4" s="378"/>
    </row>
    <row r="5" s="10" customFormat="1" ht="12.75"/>
    <row r="6" spans="2:9" s="10" customFormat="1" ht="18.75">
      <c r="B6" s="419" t="s">
        <v>334</v>
      </c>
      <c r="C6" s="419"/>
      <c r="D6" s="419"/>
      <c r="E6" s="419"/>
      <c r="F6" s="419"/>
      <c r="G6" s="419"/>
      <c r="H6" s="419"/>
      <c r="I6" s="419"/>
    </row>
    <row r="7" s="10" customFormat="1" ht="12.75"/>
    <row r="8" spans="1:17" s="10" customFormat="1" ht="12.75" customHeight="1">
      <c r="A8" s="12"/>
      <c r="B8" s="11" t="s">
        <v>135</v>
      </c>
      <c r="C8" s="428" t="s">
        <v>136</v>
      </c>
      <c r="D8" s="428"/>
      <c r="E8" s="428"/>
      <c r="F8" s="428"/>
      <c r="G8" s="428"/>
      <c r="H8" s="428"/>
      <c r="I8" s="428"/>
      <c r="J8"/>
      <c r="K8"/>
      <c r="L8"/>
      <c r="M8"/>
      <c r="N8"/>
      <c r="O8"/>
      <c r="P8"/>
      <c r="Q8"/>
    </row>
    <row r="9" spans="1:17" s="10" customFormat="1" ht="12.75">
      <c r="A9" s="12"/>
      <c r="B9" s="12"/>
      <c r="C9" s="428"/>
      <c r="D9" s="428"/>
      <c r="E9" s="428"/>
      <c r="F9" s="428"/>
      <c r="G9" s="428"/>
      <c r="H9" s="428"/>
      <c r="I9" s="428"/>
      <c r="J9"/>
      <c r="K9"/>
      <c r="L9"/>
      <c r="M9"/>
      <c r="N9"/>
      <c r="O9"/>
      <c r="P9"/>
      <c r="Q9"/>
    </row>
    <row r="10" spans="1:9" s="10" customFormat="1" ht="15" customHeight="1">
      <c r="A10" s="12"/>
      <c r="B10" s="12"/>
      <c r="C10" s="109"/>
      <c r="D10" s="109"/>
      <c r="E10" s="109"/>
      <c r="F10" s="109"/>
      <c r="G10" s="109"/>
      <c r="H10" s="109"/>
      <c r="I10" s="109"/>
    </row>
    <row r="11" spans="1:9" s="10" customFormat="1" ht="15.75">
      <c r="A11" s="12"/>
      <c r="B11" s="36" t="s">
        <v>24</v>
      </c>
      <c r="C11" s="35"/>
      <c r="D11" s="35"/>
      <c r="E11" s="35"/>
      <c r="F11" s="422" t="s">
        <v>21</v>
      </c>
      <c r="G11" s="422"/>
      <c r="H11" s="422"/>
      <c r="I11" s="422"/>
    </row>
    <row r="12" s="10" customFormat="1" ht="12.75"/>
    <row r="13" s="10" customFormat="1" ht="12.75"/>
    <row r="14" s="10" customFormat="1" ht="12.75"/>
    <row r="15" s="10" customFormat="1" ht="12.75"/>
    <row r="16" s="10" customFormat="1" ht="12.75"/>
    <row r="17" s="10" customFormat="1" ht="12.75"/>
    <row r="18" s="10" customFormat="1" ht="12.75"/>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sheetData>
  <mergeCells count="6">
    <mergeCell ref="D2:I2"/>
    <mergeCell ref="H4:I4"/>
    <mergeCell ref="F11:I11"/>
    <mergeCell ref="B6:I6"/>
    <mergeCell ref="C8:I9"/>
    <mergeCell ref="B4:D4"/>
  </mergeCells>
  <hyperlinks>
    <hyperlink ref="H4" location="Índice!B6" display="Volver"/>
    <hyperlink ref="B4" location="Ejercicios!B6" display="Volver a ejercicios"/>
  </hyperlinks>
  <printOptions horizontalCentered="1" verticalCentered="1"/>
  <pageMargins left="0.75" right="0.75" top="1" bottom="1" header="0.5" footer="0.5"/>
  <pageSetup horizontalDpi="600" verticalDpi="600" orientation="landscape" scale="8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U66"/>
  <sheetViews>
    <sheetView showGridLines="0" view="pageBreakPreview" zoomScale="80" zoomScaleSheetLayoutView="80" workbookViewId="0" topLeftCell="A1">
      <selection activeCell="A1" sqref="A1"/>
    </sheetView>
  </sheetViews>
  <sheetFormatPr defaultColWidth="9.140625" defaultRowHeight="12.75"/>
  <cols>
    <col min="1" max="1" width="8.8515625" style="38" customWidth="1"/>
    <col min="2" max="2" width="5.28125" style="38" customWidth="1"/>
    <col min="3" max="3" width="9.7109375" style="38" customWidth="1"/>
    <col min="4" max="4" width="11.00390625" style="38" bestFit="1" customWidth="1"/>
    <col min="5" max="5" width="9.8515625" style="38" bestFit="1" customWidth="1"/>
    <col min="6" max="6" width="10.28125" style="38" bestFit="1" customWidth="1"/>
    <col min="7" max="7" width="9.8515625" style="38" bestFit="1" customWidth="1"/>
    <col min="8" max="8" width="7.140625" style="38" bestFit="1" customWidth="1"/>
    <col min="9" max="9" width="0.85546875" style="38" customWidth="1"/>
    <col min="10" max="10" width="10.8515625" style="38" bestFit="1" customWidth="1"/>
    <col min="11" max="11" width="9.8515625" style="38" customWidth="1"/>
    <col min="12" max="16384" width="8.8515625" style="38" customWidth="1"/>
  </cols>
  <sheetData>
    <row r="1" ht="12.75">
      <c r="A1" s="192"/>
    </row>
    <row r="2" spans="12:19" ht="12.75">
      <c r="L2" s="23" t="s">
        <v>22</v>
      </c>
      <c r="M2" s="23"/>
      <c r="N2" s="23"/>
      <c r="O2" s="23"/>
      <c r="P2" s="23"/>
      <c r="Q2" s="23"/>
      <c r="R2" s="23"/>
      <c r="S2" s="23"/>
    </row>
    <row r="3" spans="6:11" ht="12.75">
      <c r="F3" s="23"/>
      <c r="G3" s="23"/>
      <c r="H3" s="23"/>
      <c r="I3" s="23"/>
      <c r="J3" s="23"/>
      <c r="K3" s="23"/>
    </row>
    <row r="4" spans="2:12" ht="12.75">
      <c r="B4" s="392" t="s">
        <v>335</v>
      </c>
      <c r="C4" s="392"/>
      <c r="D4" s="392"/>
      <c r="F4" s="23"/>
      <c r="G4" s="23"/>
      <c r="H4" s="23"/>
      <c r="I4" s="23"/>
      <c r="J4" s="23"/>
      <c r="K4" s="378" t="s">
        <v>8</v>
      </c>
      <c r="L4" s="378"/>
    </row>
    <row r="6" spans="2:12" s="39" customFormat="1" ht="18.75">
      <c r="B6" s="419" t="s">
        <v>334</v>
      </c>
      <c r="C6" s="419"/>
      <c r="D6" s="419"/>
      <c r="E6" s="419"/>
      <c r="F6" s="419"/>
      <c r="G6" s="419"/>
      <c r="H6" s="419"/>
      <c r="I6" s="419"/>
      <c r="J6" s="419"/>
      <c r="K6" s="419"/>
      <c r="L6" s="419"/>
    </row>
    <row r="7" s="39" customFormat="1" ht="12.75"/>
    <row r="8" spans="2:19" s="39" customFormat="1" ht="12.75">
      <c r="B8" s="40" t="s">
        <v>137</v>
      </c>
      <c r="C8" s="114"/>
      <c r="D8" s="114"/>
      <c r="E8" s="114"/>
      <c r="F8" s="114"/>
      <c r="G8" s="114"/>
      <c r="H8" s="114"/>
      <c r="I8" s="114"/>
      <c r="J8" s="114"/>
      <c r="K8" s="114"/>
      <c r="L8"/>
      <c r="M8"/>
      <c r="N8"/>
      <c r="O8"/>
      <c r="P8"/>
      <c r="Q8"/>
      <c r="R8"/>
      <c r="S8"/>
    </row>
    <row r="9" spans="2:19" s="39" customFormat="1" ht="15.75">
      <c r="B9" s="40"/>
      <c r="C9" s="405" t="str">
        <f>Ejercicios!D16</f>
        <v>Población, mortalidad y fecundidad por edades en 1993</v>
      </c>
      <c r="D9" s="405">
        <f>Ejercicios!E16</f>
        <v>0</v>
      </c>
      <c r="E9" s="405">
        <f>Ejercicios!F16</f>
        <v>0</v>
      </c>
      <c r="F9" s="405">
        <f>Ejercicios!G16</f>
        <v>0</v>
      </c>
      <c r="G9" s="405">
        <f>Ejercicios!H16</f>
        <v>0</v>
      </c>
      <c r="H9" s="405">
        <f>Ejercicios!I16</f>
        <v>0</v>
      </c>
      <c r="I9" s="405"/>
      <c r="J9" s="405"/>
      <c r="K9" s="405"/>
      <c r="L9"/>
      <c r="M9"/>
      <c r="N9"/>
      <c r="O9"/>
      <c r="P9"/>
      <c r="Q9"/>
      <c r="R9"/>
      <c r="S9"/>
    </row>
    <row r="10" spans="2:19" s="39" customFormat="1" ht="13.5" thickBot="1">
      <c r="B10" s="40"/>
      <c r="C10" s="65"/>
      <c r="D10" s="65"/>
      <c r="E10" s="65"/>
      <c r="F10" s="65"/>
      <c r="G10" s="65"/>
      <c r="H10" s="65"/>
      <c r="I10" s="76"/>
      <c r="J10"/>
      <c r="K10"/>
      <c r="L10"/>
      <c r="M10"/>
      <c r="N10"/>
      <c r="O10"/>
      <c r="P10"/>
      <c r="Q10"/>
      <c r="R10"/>
      <c r="S10"/>
    </row>
    <row r="11" spans="2:19" s="39" customFormat="1" ht="12.75">
      <c r="B11" s="40"/>
      <c r="C11" s="407" t="str">
        <f>Ejercicios!D18</f>
        <v>Grupos de edad</v>
      </c>
      <c r="D11" s="407" t="str">
        <f>Ejercicios!E18</f>
        <v>Población en 1993*</v>
      </c>
      <c r="E11" s="407">
        <f>Ejercicios!F18</f>
        <v>0</v>
      </c>
      <c r="F11" s="407" t="str">
        <f>Ejercicios!G18</f>
        <v>TEM                                     (por cada mil personas)</v>
      </c>
      <c r="G11" s="407">
        <f>Ejercicios!H18</f>
        <v>0</v>
      </c>
      <c r="H11" s="409" t="str">
        <f>Ejercicios!I18</f>
        <v>TFE (5)</v>
      </c>
      <c r="I11" s="409"/>
      <c r="J11" s="409" t="s">
        <v>138</v>
      </c>
      <c r="K11" s="429"/>
      <c r="L11"/>
      <c r="M11"/>
      <c r="N11"/>
      <c r="O11"/>
      <c r="P11"/>
      <c r="Q11"/>
      <c r="R11"/>
      <c r="S11"/>
    </row>
    <row r="12" spans="2:19" s="39" customFormat="1" ht="13.5" thickBot="1">
      <c r="B12" s="40"/>
      <c r="C12" s="383">
        <f>Ejercicios!D19</f>
        <v>0</v>
      </c>
      <c r="D12" s="408">
        <f>Ejercicios!E19</f>
        <v>0</v>
      </c>
      <c r="E12" s="408">
        <f>Ejercicios!F19</f>
        <v>0</v>
      </c>
      <c r="F12" s="408">
        <f>Ejercicios!G19</f>
        <v>0</v>
      </c>
      <c r="G12" s="408">
        <f>Ejercicios!H19</f>
        <v>0</v>
      </c>
      <c r="H12" s="410">
        <f>Ejercicios!I19</f>
        <v>0</v>
      </c>
      <c r="I12" s="410"/>
      <c r="J12" s="410"/>
      <c r="K12" s="429"/>
      <c r="L12"/>
      <c r="M12"/>
      <c r="N12"/>
      <c r="O12"/>
      <c r="P12"/>
      <c r="Q12"/>
      <c r="R12"/>
      <c r="S12"/>
    </row>
    <row r="13" spans="2:19" s="39" customFormat="1" ht="12.75">
      <c r="B13" s="40"/>
      <c r="C13" s="383">
        <f>Ejercicios!D20</f>
        <v>0</v>
      </c>
      <c r="D13" s="89" t="str">
        <f>Ejercicios!E20</f>
        <v>Hombres (1)</v>
      </c>
      <c r="E13" s="89" t="str">
        <f>Ejercicios!F20</f>
        <v>Mujeres (2)</v>
      </c>
      <c r="F13" s="89" t="str">
        <f>Ejercicios!G20</f>
        <v>Hombres (3)</v>
      </c>
      <c r="G13" s="89" t="str">
        <f>Ejercicios!H20</f>
        <v>Mujeres (4)</v>
      </c>
      <c r="H13" s="410">
        <f>Ejercicios!I20</f>
        <v>0</v>
      </c>
      <c r="I13" s="410"/>
      <c r="J13" s="410"/>
      <c r="K13" s="429"/>
      <c r="L13"/>
      <c r="M13"/>
      <c r="N13"/>
      <c r="O13"/>
      <c r="P13"/>
      <c r="Q13"/>
      <c r="R13"/>
      <c r="S13"/>
    </row>
    <row r="14" spans="2:19" s="39" customFormat="1" ht="13.5" thickBot="1">
      <c r="B14" s="40"/>
      <c r="C14" s="90"/>
      <c r="D14" s="127"/>
      <c r="E14" s="127"/>
      <c r="F14" s="127"/>
      <c r="G14" s="127"/>
      <c r="H14" s="127"/>
      <c r="I14" s="127"/>
      <c r="J14" s="127"/>
      <c r="K14" s="138"/>
      <c r="L14"/>
      <c r="M14"/>
      <c r="N14"/>
      <c r="O14"/>
      <c r="P14"/>
      <c r="Q14"/>
      <c r="R14"/>
      <c r="S14"/>
    </row>
    <row r="15" spans="2:19" s="39" customFormat="1" ht="12.75">
      <c r="B15" s="40"/>
      <c r="C15" s="96" t="str">
        <f>Ejercicios!D22</f>
        <v>0- 4</v>
      </c>
      <c r="D15" s="67">
        <f>Ejercicios!E22</f>
        <v>1914.391</v>
      </c>
      <c r="E15" s="67">
        <f>Ejercicios!F22</f>
        <v>1840.479</v>
      </c>
      <c r="F15" s="69">
        <f>Ejercicios!G22</f>
        <v>7.774375250406004</v>
      </c>
      <c r="G15" s="69">
        <f>Ejercicios!H22</f>
        <v>5.9649169591177085</v>
      </c>
      <c r="H15" s="68"/>
      <c r="I15" s="68"/>
      <c r="J15" s="134" t="s">
        <v>142</v>
      </c>
      <c r="K15" s="139"/>
      <c r="L15"/>
      <c r="M15"/>
      <c r="N15"/>
      <c r="O15"/>
      <c r="P15"/>
      <c r="Q15"/>
      <c r="R15"/>
      <c r="S15"/>
    </row>
    <row r="16" spans="2:19" s="39" customFormat="1" ht="12.75">
      <c r="B16" s="40"/>
      <c r="C16" s="97" t="str">
        <f>Ejercicios!D23</f>
        <v>5-9</v>
      </c>
      <c r="D16" s="92">
        <f>Ejercicios!E23</f>
        <v>1943.375</v>
      </c>
      <c r="E16" s="92">
        <f>Ejercicios!F23</f>
        <v>1873.295</v>
      </c>
      <c r="F16" s="94">
        <f>Ejercicios!G23</f>
        <v>0.75</v>
      </c>
      <c r="G16" s="94">
        <f>Ejercicios!H23</f>
        <v>0.53</v>
      </c>
      <c r="H16" s="93"/>
      <c r="I16" s="93"/>
      <c r="J16" s="135" t="s">
        <v>142</v>
      </c>
      <c r="K16" s="139"/>
      <c r="L16"/>
      <c r="M16"/>
      <c r="N16"/>
      <c r="O16"/>
      <c r="P16"/>
      <c r="Q16"/>
      <c r="R16"/>
      <c r="S16"/>
    </row>
    <row r="17" spans="2:17" s="39" customFormat="1" ht="12.75">
      <c r="B17" s="40"/>
      <c r="C17" s="96" t="str">
        <f>Ejercicios!D24</f>
        <v>10-14</v>
      </c>
      <c r="D17" s="67">
        <f>Ejercicios!E24</f>
        <v>1947.256</v>
      </c>
      <c r="E17" s="67">
        <f>Ejercicios!F24</f>
        <v>1893.376</v>
      </c>
      <c r="F17" s="69">
        <f>Ejercicios!G24</f>
        <v>0.7</v>
      </c>
      <c r="G17" s="69">
        <f>Ejercicios!H24</f>
        <v>0.43</v>
      </c>
      <c r="H17" s="68"/>
      <c r="I17" s="68"/>
      <c r="J17" s="134" t="s">
        <v>142</v>
      </c>
      <c r="K17" s="139"/>
      <c r="L17"/>
      <c r="M17"/>
      <c r="N17"/>
      <c r="O17"/>
      <c r="P17"/>
      <c r="Q17"/>
    </row>
    <row r="18" spans="2:17" s="39" customFormat="1" ht="12.75">
      <c r="B18" s="40"/>
      <c r="C18" s="97" t="str">
        <f>Ejercicios!D25</f>
        <v>15-19</v>
      </c>
      <c r="D18" s="92">
        <f>Ejercicios!E25</f>
        <v>1614.187</v>
      </c>
      <c r="E18" s="92">
        <f>Ejercicios!F25</f>
        <v>1687.249</v>
      </c>
      <c r="F18" s="94">
        <f>Ejercicios!G25</f>
        <v>1.82</v>
      </c>
      <c r="G18" s="94">
        <f>Ejercicios!H25</f>
        <v>0.72</v>
      </c>
      <c r="H18" s="95">
        <f>Ejercicios!I25</f>
        <v>110.8</v>
      </c>
      <c r="I18" s="95"/>
      <c r="J18" s="136">
        <f aca="true" t="shared" si="0" ref="J18:J31">E18*H18</f>
        <v>186947.1892</v>
      </c>
      <c r="K18" s="139"/>
      <c r="L18"/>
      <c r="M18"/>
      <c r="N18"/>
      <c r="O18"/>
      <c r="P18"/>
      <c r="Q18"/>
    </row>
    <row r="19" spans="2:17" s="39" customFormat="1" ht="12.75">
      <c r="B19" s="40"/>
      <c r="C19" s="96" t="str">
        <f>Ejercicios!D26</f>
        <v>20-24</v>
      </c>
      <c r="D19" s="67">
        <f>Ejercicios!E26</f>
        <v>1508.254</v>
      </c>
      <c r="E19" s="67">
        <f>Ejercicios!F26</f>
        <v>1648.276</v>
      </c>
      <c r="F19" s="69">
        <f>Ejercicios!G26</f>
        <v>3.63</v>
      </c>
      <c r="G19" s="69">
        <f>Ejercicios!H26</f>
        <v>0.92</v>
      </c>
      <c r="H19" s="70">
        <f>Ejercicios!I26</f>
        <v>173</v>
      </c>
      <c r="I19" s="70"/>
      <c r="J19" s="137">
        <f t="shared" si="0"/>
        <v>285151.748</v>
      </c>
      <c r="K19" s="139"/>
      <c r="L19"/>
      <c r="M19"/>
      <c r="N19"/>
      <c r="O19"/>
      <c r="P19"/>
      <c r="Q19"/>
    </row>
    <row r="20" spans="2:17" s="39" customFormat="1" ht="12.75">
      <c r="B20" s="40"/>
      <c r="C20" s="97" t="str">
        <f>Ejercicios!D27</f>
        <v>25-29</v>
      </c>
      <c r="D20" s="92">
        <f>Ejercicios!E27</f>
        <v>1420.298</v>
      </c>
      <c r="E20" s="92">
        <f>Ejercicios!F27</f>
        <v>1557.235</v>
      </c>
      <c r="F20" s="94">
        <f>Ejercicios!G27</f>
        <v>4.4</v>
      </c>
      <c r="G20" s="94">
        <f>Ejercicios!H27</f>
        <v>1.13</v>
      </c>
      <c r="H20" s="95">
        <f>Ejercicios!I27</f>
        <v>142.2</v>
      </c>
      <c r="I20" s="95"/>
      <c r="J20" s="136">
        <f t="shared" si="0"/>
        <v>221438.81699999998</v>
      </c>
      <c r="K20" s="139"/>
      <c r="L20"/>
      <c r="M20"/>
      <c r="N20"/>
      <c r="O20"/>
      <c r="P20"/>
      <c r="Q20"/>
    </row>
    <row r="21" spans="2:17" s="39" customFormat="1" ht="12.75">
      <c r="B21" s="40"/>
      <c r="C21" s="96" t="str">
        <f>Ejercicios!D28</f>
        <v>30-34</v>
      </c>
      <c r="D21" s="67">
        <f>Ejercicios!E28</f>
        <v>1303.844</v>
      </c>
      <c r="E21" s="67">
        <f>Ejercicios!F28</f>
        <v>1389.426</v>
      </c>
      <c r="F21" s="69">
        <f>Ejercicios!G28</f>
        <v>4.34</v>
      </c>
      <c r="G21" s="69">
        <f>Ejercicios!H28</f>
        <v>1.44</v>
      </c>
      <c r="H21" s="70">
        <f>Ejercicios!I28</f>
        <v>97.3</v>
      </c>
      <c r="I21" s="70"/>
      <c r="J21" s="137">
        <f t="shared" si="0"/>
        <v>135191.14979999998</v>
      </c>
      <c r="K21" s="139"/>
      <c r="L21"/>
      <c r="M21"/>
      <c r="N21"/>
      <c r="O21"/>
      <c r="P21"/>
      <c r="Q21"/>
    </row>
    <row r="22" spans="2:17" s="39" customFormat="1" ht="12.75">
      <c r="B22" s="40"/>
      <c r="C22" s="97" t="str">
        <f>Ejercicios!D29</f>
        <v>35-39</v>
      </c>
      <c r="D22" s="92">
        <f>Ejercicios!E29</f>
        <v>1060.353</v>
      </c>
      <c r="E22" s="92">
        <f>Ejercicios!F29</f>
        <v>1159.397</v>
      </c>
      <c r="F22" s="94">
        <f>Ejercicios!G29</f>
        <v>4.24</v>
      </c>
      <c r="G22" s="94">
        <f>Ejercicios!H29</f>
        <v>1.9</v>
      </c>
      <c r="H22" s="95">
        <f>Ejercicios!I29</f>
        <v>55.800000000000004</v>
      </c>
      <c r="I22" s="95"/>
      <c r="J22" s="136">
        <f t="shared" si="0"/>
        <v>64694.3526</v>
      </c>
      <c r="K22" s="139"/>
      <c r="L22"/>
      <c r="M22"/>
      <c r="N22"/>
      <c r="O22"/>
      <c r="P22"/>
      <c r="Q22"/>
    </row>
    <row r="23" spans="2:17" s="39" customFormat="1" ht="12.75">
      <c r="B23" s="40"/>
      <c r="C23" s="96" t="str">
        <f>Ejercicios!D30</f>
        <v>40-44</v>
      </c>
      <c r="D23" s="67">
        <f>Ejercicios!E30</f>
        <v>864.685</v>
      </c>
      <c r="E23" s="67">
        <f>Ejercicios!F30</f>
        <v>871.241</v>
      </c>
      <c r="F23" s="69">
        <f>Ejercicios!G30</f>
        <v>4.93</v>
      </c>
      <c r="G23" s="69">
        <f>Ejercicios!H30</f>
        <v>2.91</v>
      </c>
      <c r="H23" s="70">
        <f>Ejercicios!I30</f>
        <v>21.5</v>
      </c>
      <c r="I23" s="70"/>
      <c r="J23" s="137">
        <f t="shared" si="0"/>
        <v>18731.6815</v>
      </c>
      <c r="K23" s="139"/>
      <c r="L23"/>
      <c r="M23"/>
      <c r="N23"/>
      <c r="O23"/>
      <c r="P23"/>
      <c r="Q23"/>
    </row>
    <row r="24" spans="2:17" s="39" customFormat="1" ht="12.75">
      <c r="B24" s="40"/>
      <c r="C24" s="97" t="str">
        <f>Ejercicios!D31</f>
        <v>45-49</v>
      </c>
      <c r="D24" s="92">
        <f>Ejercicios!E31</f>
        <v>650.119</v>
      </c>
      <c r="E24" s="92">
        <f>Ejercicios!F31</f>
        <v>673.696</v>
      </c>
      <c r="F24" s="94">
        <f>Ejercicios!G31</f>
        <v>6.62</v>
      </c>
      <c r="G24" s="94">
        <f>Ejercicios!H31</f>
        <v>4.36</v>
      </c>
      <c r="H24" s="95">
        <f>Ejercicios!I31</f>
        <v>6.5</v>
      </c>
      <c r="I24" s="95"/>
      <c r="J24" s="136">
        <f t="shared" si="0"/>
        <v>4379.024</v>
      </c>
      <c r="K24" s="139"/>
      <c r="L24"/>
      <c r="M24"/>
      <c r="N24"/>
      <c r="O24"/>
      <c r="P24"/>
      <c r="Q24"/>
    </row>
    <row r="25" spans="2:17" s="39" customFormat="1" ht="12.75">
      <c r="B25" s="40"/>
      <c r="C25" s="96" t="str">
        <f>Ejercicios!D32</f>
        <v>50-54</v>
      </c>
      <c r="D25" s="67">
        <f>Ejercicios!E32</f>
        <v>559.518</v>
      </c>
      <c r="E25" s="67">
        <f>Ejercicios!F32</f>
        <v>579.983</v>
      </c>
      <c r="F25" s="69">
        <f>Ejercicios!G32</f>
        <v>8.91</v>
      </c>
      <c r="G25" s="69">
        <f>Ejercicios!H32</f>
        <v>6.66</v>
      </c>
      <c r="H25" s="68"/>
      <c r="I25" s="68"/>
      <c r="J25" s="134" t="s">
        <v>142</v>
      </c>
      <c r="K25" s="139"/>
      <c r="L25"/>
      <c r="M25"/>
      <c r="N25"/>
      <c r="O25"/>
      <c r="P25"/>
      <c r="Q25"/>
    </row>
    <row r="26" spans="2:17" s="39" customFormat="1" ht="12.75">
      <c r="B26" s="40"/>
      <c r="C26" s="97" t="str">
        <f>Ejercicios!D33</f>
        <v>55-59</v>
      </c>
      <c r="D26" s="92">
        <f>Ejercicios!E33</f>
        <v>413.838</v>
      </c>
      <c r="E26" s="92">
        <f>Ejercicios!F33</f>
        <v>441.427</v>
      </c>
      <c r="F26" s="94">
        <f>Ejercicios!G33</f>
        <v>14.33</v>
      </c>
      <c r="G26" s="94">
        <f>Ejercicios!H33</f>
        <v>10.51</v>
      </c>
      <c r="H26" s="93"/>
      <c r="I26" s="93"/>
      <c r="J26" s="135" t="s">
        <v>142</v>
      </c>
      <c r="K26" s="139"/>
      <c r="L26"/>
      <c r="M26"/>
      <c r="N26"/>
      <c r="O26"/>
      <c r="P26"/>
      <c r="Q26"/>
    </row>
    <row r="27" spans="2:17" s="39" customFormat="1" ht="12.75">
      <c r="B27" s="40"/>
      <c r="C27" s="96" t="str">
        <f>Ejercicios!D34</f>
        <v>60-64</v>
      </c>
      <c r="D27" s="67">
        <f>Ejercicios!E34</f>
        <v>388.86</v>
      </c>
      <c r="E27" s="67">
        <f>Ejercicios!F34</f>
        <v>409.374</v>
      </c>
      <c r="F27" s="69">
        <f>Ejercicios!G34</f>
        <v>21.12</v>
      </c>
      <c r="G27" s="69">
        <f>Ejercicios!H34</f>
        <v>15.85</v>
      </c>
      <c r="H27" s="68"/>
      <c r="I27" s="68"/>
      <c r="J27" s="134" t="s">
        <v>142</v>
      </c>
      <c r="K27" s="139"/>
      <c r="L27"/>
      <c r="M27"/>
      <c r="N27"/>
      <c r="O27"/>
      <c r="P27"/>
      <c r="Q27"/>
    </row>
    <row r="28" spans="2:17" s="39" customFormat="1" ht="12.75">
      <c r="B28" s="40"/>
      <c r="C28" s="97" t="str">
        <f>Ejercicios!D35</f>
        <v>65-69</v>
      </c>
      <c r="D28" s="92">
        <f>Ejercicios!E35</f>
        <v>260.405</v>
      </c>
      <c r="E28" s="92">
        <f>Ejercicios!F35</f>
        <v>279.311</v>
      </c>
      <c r="F28" s="94">
        <f>Ejercicios!G35</f>
        <v>34.57</v>
      </c>
      <c r="G28" s="94">
        <f>Ejercicios!H35</f>
        <v>26.41</v>
      </c>
      <c r="H28" s="93"/>
      <c r="I28" s="93"/>
      <c r="J28" s="135" t="s">
        <v>142</v>
      </c>
      <c r="K28" s="139"/>
      <c r="L28"/>
      <c r="M28"/>
      <c r="N28"/>
      <c r="O28"/>
      <c r="P28"/>
      <c r="Q28"/>
    </row>
    <row r="29" spans="2:17" s="39" customFormat="1" ht="12.75">
      <c r="B29" s="40"/>
      <c r="C29" s="96" t="str">
        <f>Ejercicios!D36</f>
        <v>70-74</v>
      </c>
      <c r="D29" s="67">
        <f>Ejercicios!E36</f>
        <v>201.401</v>
      </c>
      <c r="E29" s="67">
        <f>Ejercicios!F36</f>
        <v>216.084</v>
      </c>
      <c r="F29" s="69">
        <f>Ejercicios!G36</f>
        <v>51.63</v>
      </c>
      <c r="G29" s="69">
        <f>Ejercicios!H36</f>
        <v>40.98</v>
      </c>
      <c r="H29" s="68"/>
      <c r="I29" s="68"/>
      <c r="J29" s="134" t="s">
        <v>142</v>
      </c>
      <c r="K29" s="139"/>
      <c r="L29"/>
      <c r="M29"/>
      <c r="N29"/>
      <c r="O29"/>
      <c r="P29"/>
      <c r="Q29"/>
    </row>
    <row r="30" spans="2:17" s="39" customFormat="1" ht="12.75">
      <c r="B30" s="40"/>
      <c r="C30" s="97" t="str">
        <f>Ejercicios!D37</f>
        <v>75-79</v>
      </c>
      <c r="D30" s="92">
        <f>Ejercicios!E37</f>
        <v>123.908</v>
      </c>
      <c r="E30" s="92">
        <f>Ejercicios!F37</f>
        <v>136.515</v>
      </c>
      <c r="F30" s="94">
        <f>Ejercicios!G37</f>
        <v>76.97</v>
      </c>
      <c r="G30" s="94">
        <f>Ejercicios!H37</f>
        <v>65.43</v>
      </c>
      <c r="H30" s="93"/>
      <c r="I30" s="93"/>
      <c r="J30" s="135" t="s">
        <v>142</v>
      </c>
      <c r="K30" s="139"/>
      <c r="L30"/>
      <c r="M30"/>
      <c r="N30"/>
      <c r="O30"/>
      <c r="P30"/>
      <c r="Q30"/>
    </row>
    <row r="31" spans="2:17" s="39" customFormat="1" ht="12.75">
      <c r="B31" s="40"/>
      <c r="C31" s="96" t="str">
        <f>Ejercicios!D38</f>
        <v>80+</v>
      </c>
      <c r="D31" s="67">
        <f>Ejercicios!E38</f>
        <v>121.847</v>
      </c>
      <c r="E31" s="67">
        <f>Ejercicios!F38</f>
        <v>156.937</v>
      </c>
      <c r="F31" s="69">
        <f>Ejercicios!G38</f>
        <v>133.11</v>
      </c>
      <c r="G31" s="69">
        <f>Ejercicios!H38</f>
        <v>124.88</v>
      </c>
      <c r="H31" s="68"/>
      <c r="I31" s="68"/>
      <c r="J31" s="119">
        <f t="shared" si="0"/>
        <v>0</v>
      </c>
      <c r="K31" s="139"/>
      <c r="L31"/>
      <c r="M31"/>
      <c r="N31"/>
      <c r="O31"/>
      <c r="P31"/>
      <c r="Q31"/>
    </row>
    <row r="32" spans="2:17" s="39" customFormat="1" ht="12.75">
      <c r="B32" s="40"/>
      <c r="C32" s="98" t="str">
        <f>Ejercicios!D39</f>
        <v>Total</v>
      </c>
      <c r="D32" s="121">
        <f>Ejercicios!E39</f>
        <v>16296.538999999999</v>
      </c>
      <c r="E32" s="121">
        <f>Ejercicios!F39</f>
        <v>16813.301</v>
      </c>
      <c r="F32" s="122">
        <f>Ejercicios!G39</f>
        <v>0</v>
      </c>
      <c r="G32" s="122">
        <f>Ejercicios!H39</f>
        <v>0</v>
      </c>
      <c r="H32" s="133">
        <f>SUM(H18:H24)</f>
        <v>607.0999999999999</v>
      </c>
      <c r="I32" s="123"/>
      <c r="J32" s="124">
        <f>SUM(J15:J31)</f>
        <v>916533.9621</v>
      </c>
      <c r="K32" s="140"/>
      <c r="L32"/>
      <c r="M32"/>
      <c r="N32"/>
      <c r="O32"/>
      <c r="P32"/>
      <c r="Q32"/>
    </row>
    <row r="33" spans="2:17" s="39" customFormat="1" ht="13.5" thickBot="1">
      <c r="B33" s="40"/>
      <c r="C33" s="112"/>
      <c r="D33" s="112"/>
      <c r="E33" s="112"/>
      <c r="F33" s="112"/>
      <c r="G33" s="112"/>
      <c r="H33" s="112"/>
      <c r="I33" s="112"/>
      <c r="J33" s="112"/>
      <c r="K33" s="82"/>
      <c r="L33"/>
      <c r="M33"/>
      <c r="N33"/>
      <c r="O33"/>
      <c r="P33"/>
      <c r="Q33"/>
    </row>
    <row r="34" spans="2:17" s="39" customFormat="1" ht="12.75">
      <c r="B34" s="40"/>
      <c r="C34" s="82"/>
      <c r="D34" s="82"/>
      <c r="E34" s="82"/>
      <c r="F34" s="82"/>
      <c r="G34" s="82"/>
      <c r="H34" s="82"/>
      <c r="I34" s="82"/>
      <c r="J34" s="82"/>
      <c r="K34" s="82"/>
      <c r="L34"/>
      <c r="M34"/>
      <c r="N34"/>
      <c r="O34"/>
      <c r="P34"/>
      <c r="Q34"/>
    </row>
    <row r="35" spans="2:17" s="39" customFormat="1" ht="12.75">
      <c r="B35" s="40"/>
      <c r="C35" s="427" t="s">
        <v>147</v>
      </c>
      <c r="D35" s="427"/>
      <c r="E35" s="427"/>
      <c r="F35" s="427"/>
      <c r="G35" s="427"/>
      <c r="H35" s="427"/>
      <c r="I35" s="427"/>
      <c r="J35" s="427"/>
      <c r="K35" s="427"/>
      <c r="L35"/>
      <c r="M35"/>
      <c r="N35"/>
      <c r="O35"/>
      <c r="P35"/>
      <c r="Q35"/>
    </row>
    <row r="36" spans="2:17" s="39" customFormat="1" ht="12.75">
      <c r="B36" s="40"/>
      <c r="C36" s="427"/>
      <c r="D36" s="427"/>
      <c r="E36" s="427"/>
      <c r="F36" s="427"/>
      <c r="G36" s="427"/>
      <c r="H36" s="427"/>
      <c r="I36" s="427"/>
      <c r="J36" s="427"/>
      <c r="K36" s="427"/>
      <c r="L36"/>
      <c r="M36"/>
      <c r="N36"/>
      <c r="O36"/>
      <c r="P36"/>
      <c r="Q36"/>
    </row>
    <row r="37" spans="2:17" s="39" customFormat="1" ht="12.75">
      <c r="B37" s="40"/>
      <c r="C37" s="115"/>
      <c r="D37" s="141"/>
      <c r="E37" s="141"/>
      <c r="F37" s="142"/>
      <c r="G37" s="142"/>
      <c r="H37" s="81"/>
      <c r="I37" s="81"/>
      <c r="J37" s="143"/>
      <c r="K37" s="144"/>
      <c r="L37"/>
      <c r="M37"/>
      <c r="N37"/>
      <c r="O37"/>
      <c r="P37"/>
      <c r="Q37"/>
    </row>
    <row r="38" spans="2:17" s="39" customFormat="1" ht="18.75">
      <c r="B38" s="40"/>
      <c r="C38" s="146" t="s">
        <v>139</v>
      </c>
      <c r="D38" s="147">
        <f>J32/(D32+E32)</f>
        <v>27.68161857925016</v>
      </c>
      <c r="E38" s="426" t="s">
        <v>143</v>
      </c>
      <c r="F38" s="426"/>
      <c r="G38" s="426"/>
      <c r="H38" s="426"/>
      <c r="I38" s="426"/>
      <c r="J38" s="426"/>
      <c r="K38" s="426"/>
      <c r="L38" s="55"/>
      <c r="M38"/>
      <c r="N38"/>
      <c r="O38"/>
      <c r="P38"/>
      <c r="Q38"/>
    </row>
    <row r="39" spans="2:17" s="39" customFormat="1" ht="18.75">
      <c r="B39" s="40"/>
      <c r="C39" s="118"/>
      <c r="D39" s="132"/>
      <c r="E39" s="46"/>
      <c r="F39" s="46"/>
      <c r="G39" s="46"/>
      <c r="H39" s="46"/>
      <c r="I39" s="46"/>
      <c r="J39" s="46"/>
      <c r="K39" s="46"/>
      <c r="L39" s="55"/>
      <c r="M39"/>
      <c r="N39"/>
      <c r="O39"/>
      <c r="P39"/>
      <c r="Q39"/>
    </row>
    <row r="40" spans="1:21" s="39" customFormat="1" ht="12.75" customHeight="1">
      <c r="A40" s="24"/>
      <c r="B40" s="40"/>
      <c r="C40" s="427" t="s">
        <v>144</v>
      </c>
      <c r="D40" s="427"/>
      <c r="E40" s="427"/>
      <c r="F40" s="427"/>
      <c r="G40" s="427"/>
      <c r="H40" s="427"/>
      <c r="I40" s="427"/>
      <c r="J40" s="427"/>
      <c r="K40" s="427"/>
      <c r="L40" s="46"/>
      <c r="M40" s="46"/>
      <c r="N40" s="46"/>
      <c r="O40" s="46"/>
      <c r="P40" s="46"/>
      <c r="Q40" s="46"/>
      <c r="R40" s="46"/>
      <c r="S40" s="46"/>
      <c r="T40" s="24"/>
      <c r="U40" s="24"/>
    </row>
    <row r="41" spans="1:21" s="39" customFormat="1" ht="12.75">
      <c r="A41" s="24"/>
      <c r="B41" s="40"/>
      <c r="C41" s="427"/>
      <c r="D41" s="427"/>
      <c r="E41" s="427"/>
      <c r="F41" s="427"/>
      <c r="G41" s="427"/>
      <c r="H41" s="427"/>
      <c r="I41" s="427"/>
      <c r="J41" s="427"/>
      <c r="K41" s="427"/>
      <c r="L41" s="46"/>
      <c r="M41" s="46"/>
      <c r="N41" s="46"/>
      <c r="O41" s="46"/>
      <c r="P41" s="46"/>
      <c r="Q41" s="46"/>
      <c r="R41" s="46"/>
      <c r="S41" s="46"/>
      <c r="T41" s="24"/>
      <c r="U41" s="24"/>
    </row>
    <row r="42" spans="1:21" s="39" customFormat="1" ht="12.75">
      <c r="A42" s="24"/>
      <c r="B42" s="40"/>
      <c r="C42" s="46"/>
      <c r="D42" s="46"/>
      <c r="E42" s="46"/>
      <c r="F42" s="46"/>
      <c r="G42" s="46"/>
      <c r="H42" s="46"/>
      <c r="I42" s="46"/>
      <c r="J42" s="46"/>
      <c r="K42" s="46"/>
      <c r="L42" s="143"/>
      <c r="M42" s="46"/>
      <c r="N42" s="46"/>
      <c r="O42" s="46"/>
      <c r="P42" s="46"/>
      <c r="Q42" s="46"/>
      <c r="R42" s="24"/>
      <c r="S42" s="24"/>
      <c r="T42" s="24"/>
      <c r="U42" s="24"/>
    </row>
    <row r="43" spans="1:21" s="39" customFormat="1" ht="18.75" customHeight="1">
      <c r="A43" s="24"/>
      <c r="B43" s="24"/>
      <c r="C43" s="146" t="s">
        <v>140</v>
      </c>
      <c r="D43" s="147">
        <f>J32/SUM(E18:E24)</f>
        <v>101.98986505343558</v>
      </c>
      <c r="E43" s="426" t="s">
        <v>145</v>
      </c>
      <c r="F43" s="426"/>
      <c r="G43" s="426"/>
      <c r="H43" s="426"/>
      <c r="I43" s="426"/>
      <c r="J43" s="426"/>
      <c r="K43" s="426"/>
      <c r="L43" s="148"/>
      <c r="M43" s="46"/>
      <c r="N43" s="46"/>
      <c r="O43" s="46"/>
      <c r="P43" s="46"/>
      <c r="Q43" s="46"/>
      <c r="R43" s="46"/>
      <c r="S43" s="46"/>
      <c r="T43" s="46"/>
      <c r="U43" s="46"/>
    </row>
    <row r="44" spans="1:21" s="39" customFormat="1" ht="12.75">
      <c r="A44" s="24"/>
      <c r="B44" s="24"/>
      <c r="C44" s="24"/>
      <c r="D44" s="46"/>
      <c r="E44" s="46"/>
      <c r="F44" s="46"/>
      <c r="G44" s="46"/>
      <c r="H44" s="46"/>
      <c r="I44" s="46"/>
      <c r="J44" s="46"/>
      <c r="K44" s="46"/>
      <c r="L44" s="46"/>
      <c r="M44" s="46"/>
      <c r="N44" s="46"/>
      <c r="O44" s="46"/>
      <c r="P44" s="46"/>
      <c r="Q44" s="46"/>
      <c r="R44" s="46"/>
      <c r="S44" s="46"/>
      <c r="T44" s="46"/>
      <c r="U44" s="46"/>
    </row>
    <row r="45" spans="1:21" s="39" customFormat="1" ht="12.75" customHeight="1">
      <c r="A45" s="24"/>
      <c r="B45" s="24"/>
      <c r="C45" s="46"/>
      <c r="D45" s="46"/>
      <c r="E45" s="46"/>
      <c r="F45" s="46"/>
      <c r="G45" s="46"/>
      <c r="H45" s="46"/>
      <c r="I45" s="46"/>
      <c r="J45" s="46"/>
      <c r="K45" s="46"/>
      <c r="L45" s="46"/>
      <c r="M45" s="46"/>
      <c r="N45" s="46"/>
      <c r="O45" s="46"/>
      <c r="P45" s="46"/>
      <c r="Q45" s="46"/>
      <c r="R45" s="46"/>
      <c r="S45" s="46"/>
      <c r="T45" s="24"/>
      <c r="U45" s="24"/>
    </row>
    <row r="46" spans="1:21" s="39" customFormat="1" ht="12.75" customHeight="1">
      <c r="A46" s="24"/>
      <c r="B46" s="24"/>
      <c r="C46" s="427" t="s">
        <v>308</v>
      </c>
      <c r="D46" s="427"/>
      <c r="E46" s="427"/>
      <c r="F46" s="427"/>
      <c r="G46" s="427"/>
      <c r="H46" s="427"/>
      <c r="I46" s="427"/>
      <c r="J46" s="427"/>
      <c r="K46" s="427"/>
      <c r="L46" s="46"/>
      <c r="M46" s="46"/>
      <c r="N46" s="46"/>
      <c r="O46" s="46"/>
      <c r="P46" s="46"/>
      <c r="Q46" s="46"/>
      <c r="R46" s="46"/>
      <c r="S46" s="46"/>
      <c r="T46" s="24"/>
      <c r="U46" s="24"/>
    </row>
    <row r="47" spans="1:21" s="39" customFormat="1" ht="12.75">
      <c r="A47" s="24"/>
      <c r="B47" s="24"/>
      <c r="C47" s="427"/>
      <c r="D47" s="427"/>
      <c r="E47" s="427"/>
      <c r="F47" s="427"/>
      <c r="G47" s="427"/>
      <c r="H47" s="427"/>
      <c r="I47" s="427"/>
      <c r="J47" s="427"/>
      <c r="K47" s="427"/>
      <c r="L47" s="46"/>
      <c r="M47" s="46"/>
      <c r="N47" s="46"/>
      <c r="O47" s="46"/>
      <c r="P47" s="46"/>
      <c r="Q47" s="46"/>
      <c r="R47" s="46"/>
      <c r="S47" s="46"/>
      <c r="T47" s="24"/>
      <c r="U47" s="24"/>
    </row>
    <row r="48" spans="1:21" s="39" customFormat="1" ht="12.75">
      <c r="A48" s="24"/>
      <c r="B48" s="24"/>
      <c r="C48" s="148"/>
      <c r="D48" s="148"/>
      <c r="E48" s="148"/>
      <c r="F48" s="148"/>
      <c r="G48" s="148"/>
      <c r="H48" s="148"/>
      <c r="I48" s="148"/>
      <c r="J48" s="148"/>
      <c r="K48" s="148"/>
      <c r="L48" s="143"/>
      <c r="M48" s="46"/>
      <c r="N48" s="46"/>
      <c r="O48" s="46"/>
      <c r="P48" s="46"/>
      <c r="Q48" s="46"/>
      <c r="R48" s="46"/>
      <c r="S48" s="46"/>
      <c r="T48" s="24"/>
      <c r="U48" s="24"/>
    </row>
    <row r="49" spans="1:21" s="39" customFormat="1" ht="12.75" customHeight="1">
      <c r="A49" s="24"/>
      <c r="B49" s="24"/>
      <c r="C49" s="146" t="s">
        <v>141</v>
      </c>
      <c r="D49" s="147">
        <f>(5*H32)/1000</f>
        <v>3.0354999999999994</v>
      </c>
      <c r="E49" s="426" t="s">
        <v>146</v>
      </c>
      <c r="F49" s="426"/>
      <c r="G49" s="426"/>
      <c r="H49" s="426"/>
      <c r="I49" s="426"/>
      <c r="J49" s="426"/>
      <c r="K49" s="426"/>
      <c r="L49" s="46"/>
      <c r="M49" s="46"/>
      <c r="N49" s="46"/>
      <c r="O49" s="46"/>
      <c r="P49" s="46"/>
      <c r="Q49" s="46"/>
      <c r="R49" s="46"/>
      <c r="S49" s="46"/>
      <c r="T49" s="24"/>
      <c r="U49" s="24"/>
    </row>
    <row r="50" spans="1:21" s="39" customFormat="1" ht="12.75">
      <c r="A50" s="24"/>
      <c r="B50" s="24"/>
      <c r="C50" s="24"/>
      <c r="D50" s="46"/>
      <c r="E50" s="46"/>
      <c r="F50" s="46"/>
      <c r="G50" s="46"/>
      <c r="H50" s="46"/>
      <c r="I50" s="46"/>
      <c r="J50" s="46"/>
      <c r="K50" s="46"/>
      <c r="L50" s="46"/>
      <c r="M50" s="46"/>
      <c r="N50" s="46"/>
      <c r="O50" s="46"/>
      <c r="P50" s="46"/>
      <c r="Q50" s="46"/>
      <c r="R50" s="46"/>
      <c r="S50" s="46"/>
      <c r="T50" s="24"/>
      <c r="U50" s="24"/>
    </row>
    <row r="51" spans="1:21" s="39" customFormat="1" ht="12.75" customHeight="1">
      <c r="A51" s="24"/>
      <c r="B51" s="24"/>
      <c r="C51"/>
      <c r="D51"/>
      <c r="E51"/>
      <c r="F51"/>
      <c r="G51"/>
      <c r="H51"/>
      <c r="I51"/>
      <c r="J51"/>
      <c r="K51"/>
      <c r="M51" s="46"/>
      <c r="N51" s="46"/>
      <c r="O51" s="46"/>
      <c r="P51" s="46"/>
      <c r="Q51" s="46"/>
      <c r="R51" s="46"/>
      <c r="S51" s="46"/>
      <c r="T51" s="24"/>
      <c r="U51" s="24"/>
    </row>
    <row r="52" spans="1:21" s="39" customFormat="1" ht="12.75" customHeight="1">
      <c r="A52" s="24"/>
      <c r="B52" s="36" t="s">
        <v>24</v>
      </c>
      <c r="C52" s="36"/>
      <c r="D52" s="34"/>
      <c r="E52" s="34"/>
      <c r="F52" s="34"/>
      <c r="G52" s="145"/>
      <c r="H52" s="34"/>
      <c r="I52" s="34"/>
      <c r="J52" s="34"/>
      <c r="K52" s="34"/>
      <c r="L52" s="34" t="s">
        <v>21</v>
      </c>
      <c r="M52" s="46"/>
      <c r="N52" s="46"/>
      <c r="O52" s="46"/>
      <c r="P52" s="46"/>
      <c r="Q52" s="46"/>
      <c r="R52" s="46"/>
      <c r="S52" s="46"/>
      <c r="T52" s="24"/>
      <c r="U52" s="24"/>
    </row>
    <row r="53" spans="1:21" s="39" customFormat="1" ht="18.75">
      <c r="A53" s="24"/>
      <c r="B53" s="24"/>
      <c r="C53" s="42"/>
      <c r="D53" s="42"/>
      <c r="E53" s="42"/>
      <c r="F53" s="42"/>
      <c r="G53" s="42"/>
      <c r="H53" s="42"/>
      <c r="I53" s="42"/>
      <c r="J53" s="42"/>
      <c r="K53" s="42"/>
      <c r="L53" s="46"/>
      <c r="M53" s="46"/>
      <c r="N53" s="46"/>
      <c r="O53" s="46"/>
      <c r="P53" s="46"/>
      <c r="Q53" s="46"/>
      <c r="R53" s="46"/>
      <c r="S53" s="46"/>
      <c r="T53" s="24"/>
      <c r="U53" s="24"/>
    </row>
    <row r="54" spans="1:21" s="39" customFormat="1" ht="12.75">
      <c r="A54" s="24"/>
      <c r="B54" s="24"/>
      <c r="L54" s="143"/>
      <c r="M54" s="46"/>
      <c r="N54" s="46"/>
      <c r="O54" s="46"/>
      <c r="P54" s="46"/>
      <c r="Q54" s="46"/>
      <c r="R54" s="46"/>
      <c r="S54" s="46"/>
      <c r="T54" s="24"/>
      <c r="U54" s="24"/>
    </row>
    <row r="55" spans="1:21" s="39" customFormat="1" ht="12.75" customHeight="1">
      <c r="A55" s="24"/>
      <c r="B55" s="24"/>
      <c r="L55" s="46"/>
      <c r="M55" s="46"/>
      <c r="N55" s="46"/>
      <c r="O55" s="46"/>
      <c r="P55" s="46"/>
      <c r="Q55" s="46"/>
      <c r="R55" s="46"/>
      <c r="S55" s="46"/>
      <c r="T55" s="24"/>
      <c r="U55" s="24"/>
    </row>
    <row r="56" spans="12:19" s="39" customFormat="1" ht="12.75">
      <c r="L56"/>
      <c r="M56"/>
      <c r="N56"/>
      <c r="O56"/>
      <c r="P56"/>
      <c r="Q56"/>
      <c r="R56"/>
      <c r="S56"/>
    </row>
    <row r="57" s="39" customFormat="1" ht="12.75">
      <c r="A57" s="44"/>
    </row>
    <row r="58" s="39" customFormat="1" ht="18.75">
      <c r="B58" s="42"/>
    </row>
    <row r="59" s="39" customFormat="1" ht="12.75"/>
    <row r="60" s="39" customFormat="1" ht="12.75"/>
    <row r="61" s="39" customFormat="1" ht="12.75"/>
    <row r="62" spans="3:11" s="39" customFormat="1" ht="12.75">
      <c r="C62" s="38"/>
      <c r="D62" s="38"/>
      <c r="E62" s="38"/>
      <c r="F62" s="38"/>
      <c r="G62" s="38"/>
      <c r="H62" s="38"/>
      <c r="I62" s="38"/>
      <c r="J62" s="38"/>
      <c r="K62" s="38"/>
    </row>
    <row r="63" spans="3:11" s="39" customFormat="1" ht="12.75">
      <c r="C63" s="38"/>
      <c r="D63" s="38"/>
      <c r="E63" s="38"/>
      <c r="F63" s="38"/>
      <c r="G63" s="38"/>
      <c r="H63" s="38"/>
      <c r="I63" s="38"/>
      <c r="J63" s="38"/>
      <c r="K63" s="38"/>
    </row>
    <row r="64" spans="3:11" s="39" customFormat="1" ht="12.75">
      <c r="C64" s="38"/>
      <c r="D64" s="38"/>
      <c r="E64" s="38"/>
      <c r="F64" s="38"/>
      <c r="G64" s="38"/>
      <c r="H64" s="38"/>
      <c r="I64" s="38"/>
      <c r="J64" s="38"/>
      <c r="K64" s="38"/>
    </row>
    <row r="65" spans="3:11" s="39" customFormat="1" ht="12.75">
      <c r="C65" s="38"/>
      <c r="D65" s="38"/>
      <c r="E65" s="38"/>
      <c r="F65" s="38"/>
      <c r="G65" s="38"/>
      <c r="H65" s="38"/>
      <c r="I65" s="38"/>
      <c r="J65" s="38"/>
      <c r="K65" s="38"/>
    </row>
    <row r="66" spans="3:11" s="39" customFormat="1" ht="12.75">
      <c r="C66" s="38"/>
      <c r="D66" s="38"/>
      <c r="E66" s="38"/>
      <c r="F66" s="38"/>
      <c r="G66" s="38"/>
      <c r="H66" s="38"/>
      <c r="I66" s="38"/>
      <c r="J66" s="38"/>
      <c r="K66" s="38"/>
    </row>
  </sheetData>
  <mergeCells count="17">
    <mergeCell ref="J11:J13"/>
    <mergeCell ref="K11:K13"/>
    <mergeCell ref="C9:K9"/>
    <mergeCell ref="C11:C13"/>
    <mergeCell ref="D11:E12"/>
    <mergeCell ref="F11:G12"/>
    <mergeCell ref="H11:H13"/>
    <mergeCell ref="B4:D4"/>
    <mergeCell ref="E49:K49"/>
    <mergeCell ref="E38:K38"/>
    <mergeCell ref="C35:K36"/>
    <mergeCell ref="C40:K41"/>
    <mergeCell ref="C46:K47"/>
    <mergeCell ref="E43:K43"/>
    <mergeCell ref="K4:L4"/>
    <mergeCell ref="B6:L6"/>
    <mergeCell ref="I11:I13"/>
  </mergeCells>
  <hyperlinks>
    <hyperlink ref="K4" location="Índice!E7" display="Volver al Índice"/>
    <hyperlink ref="K4:L4" location="Índice!B6" display="Volver al índice"/>
    <hyperlink ref="B4" location="Ejercicios!B6" display="Volver a ejercicios"/>
  </hyperlinks>
  <printOptions horizontalCentered="1" verticalCentered="1"/>
  <pageMargins left="0.75" right="0.75" top="1" bottom="1" header="0.5" footer="0.5"/>
  <pageSetup horizontalDpi="600" verticalDpi="600" orientation="portrait" scale="80" r:id="rId7"/>
  <headerFooter alignWithMargins="0">
    <oddFooter>&amp;R&amp;A</oddFooter>
  </headerFooter>
  <legacyDrawing r:id="rId6"/>
  <oleObjects>
    <oleObject progId="Equation.3" shapeId="1610015" r:id="rId1"/>
    <oleObject progId="Equation.3" shapeId="1610016" r:id="rId2"/>
    <oleObject progId="Equation.3" shapeId="1610017" r:id="rId3"/>
    <oleObject progId="Equation.3" shapeId="1610018" r:id="rId4"/>
    <oleObject progId="Equation.3" shapeId="1610019" r:id="rId5"/>
  </oleObjects>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showGridLines="0" view="pageBreakPreview" zoomScale="80" zoomScaleSheetLayoutView="80" workbookViewId="0" topLeftCell="A1">
      <selection activeCell="A1" sqref="A1"/>
    </sheetView>
  </sheetViews>
  <sheetFormatPr defaultColWidth="9.140625" defaultRowHeight="12.75"/>
  <cols>
    <col min="2" max="2" width="5.57421875" style="0" customWidth="1"/>
    <col min="5" max="5" width="17.140625" style="0" customWidth="1"/>
  </cols>
  <sheetData>
    <row r="1" ht="12.75">
      <c r="A1" s="192"/>
    </row>
    <row r="2" spans="2:7" ht="12.75">
      <c r="B2" s="430" t="s">
        <v>22</v>
      </c>
      <c r="C2" s="430"/>
      <c r="D2" s="430"/>
      <c r="E2" s="430"/>
      <c r="F2" s="430"/>
      <c r="G2" s="430"/>
    </row>
    <row r="4" spans="2:7" s="6" customFormat="1" ht="12.75">
      <c r="B4" s="392" t="s">
        <v>335</v>
      </c>
      <c r="C4" s="392"/>
      <c r="D4" s="392"/>
      <c r="F4" s="378" t="s">
        <v>8</v>
      </c>
      <c r="G4" s="378"/>
    </row>
    <row r="5" s="6" customFormat="1" ht="12.75"/>
    <row r="6" spans="2:7" s="6" customFormat="1" ht="18.75">
      <c r="B6" s="419" t="s">
        <v>334</v>
      </c>
      <c r="C6" s="419"/>
      <c r="D6" s="419"/>
      <c r="E6" s="419"/>
      <c r="F6" s="419"/>
      <c r="G6" s="419"/>
    </row>
    <row r="7" spans="3:4" s="6" customFormat="1" ht="12.75">
      <c r="C7" s="54"/>
      <c r="D7" s="54"/>
    </row>
    <row r="8" spans="2:7" s="6" customFormat="1" ht="12.75">
      <c r="B8" s="48" t="s">
        <v>148</v>
      </c>
      <c r="C8" s="431" t="s">
        <v>353</v>
      </c>
      <c r="D8" s="431"/>
      <c r="E8" s="431"/>
      <c r="F8" s="431"/>
      <c r="G8" s="431"/>
    </row>
    <row r="9" spans="2:7" s="6" customFormat="1" ht="12.75">
      <c r="B9" s="48"/>
      <c r="C9" s="432"/>
      <c r="D9" s="432"/>
      <c r="E9" s="432"/>
      <c r="F9" s="432"/>
      <c r="G9" s="432"/>
    </row>
    <row r="10" spans="2:7" s="6" customFormat="1" ht="12.75">
      <c r="B10" s="48"/>
      <c r="C10" s="58"/>
      <c r="D10" s="58"/>
      <c r="E10" s="58"/>
      <c r="F10" s="58"/>
      <c r="G10" s="58"/>
    </row>
    <row r="11" spans="2:7" s="6" customFormat="1" ht="12.75">
      <c r="B11" s="48"/>
      <c r="C11" s="58"/>
      <c r="D11" s="38"/>
      <c r="E11" s="58"/>
      <c r="F11" s="58"/>
      <c r="G11" s="58"/>
    </row>
    <row r="12" spans="2:7" s="6" customFormat="1" ht="12.75">
      <c r="B12" s="48"/>
      <c r="C12" s="58"/>
      <c r="D12" s="58"/>
      <c r="E12" s="58"/>
      <c r="F12" s="58"/>
      <c r="G12" s="58"/>
    </row>
    <row r="13" spans="2:7" s="6" customFormat="1" ht="15.75">
      <c r="B13" s="111"/>
      <c r="C13" s="433" t="s">
        <v>298</v>
      </c>
      <c r="D13" s="433"/>
      <c r="E13" s="433"/>
      <c r="F13" s="433"/>
      <c r="G13" s="433"/>
    </row>
    <row r="14" spans="2:7" s="6" customFormat="1" ht="15.75">
      <c r="B14" s="108"/>
      <c r="C14" s="106"/>
      <c r="D14" s="106"/>
      <c r="E14" s="107"/>
      <c r="F14" s="107"/>
      <c r="G14" s="107"/>
    </row>
    <row r="15" spans="2:7" s="6" customFormat="1" ht="15.75">
      <c r="B15" s="36" t="s">
        <v>24</v>
      </c>
      <c r="C15" s="35"/>
      <c r="D15" s="35"/>
      <c r="E15" s="424" t="s">
        <v>21</v>
      </c>
      <c r="F15" s="424"/>
      <c r="G15" s="424"/>
    </row>
    <row r="16" s="6" customFormat="1" ht="12.75"/>
    <row r="17" s="6" customFormat="1" ht="12.75"/>
    <row r="18" s="6" customFormat="1" ht="12.75"/>
    <row r="19" s="6" customFormat="1" ht="12.75"/>
    <row r="20" s="6" customFormat="1" ht="12.75"/>
    <row r="21" s="6" customFormat="1" ht="12.75"/>
    <row r="22" s="6" customFormat="1" ht="12.75"/>
    <row r="23" s="6" customFormat="1" ht="12.75"/>
    <row r="24" s="6" customFormat="1" ht="12.75"/>
    <row r="25" s="6" customFormat="1" ht="12.75"/>
    <row r="26" s="6" customFormat="1" ht="12.75"/>
  </sheetData>
  <mergeCells count="7">
    <mergeCell ref="E15:G15"/>
    <mergeCell ref="B2:G2"/>
    <mergeCell ref="F4:G4"/>
    <mergeCell ref="B6:G6"/>
    <mergeCell ref="C8:G9"/>
    <mergeCell ref="C13:G13"/>
    <mergeCell ref="B4:D4"/>
  </mergeCells>
  <hyperlinks>
    <hyperlink ref="F4" location="Índice!B6" display="Volver"/>
    <hyperlink ref="F4:G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r:id="rId3"/>
  <headerFooter alignWithMargins="0">
    <oddFooter>&amp;R&amp;A</oddFooter>
  </headerFooter>
  <legacyDrawing r:id="rId2"/>
  <oleObjects>
    <oleObject progId="Equation.3" shapeId="4353116" r:id="rId1"/>
  </oleObjects>
</worksheet>
</file>

<file path=xl/worksheets/sheet9.xml><?xml version="1.0" encoding="utf-8"?>
<worksheet xmlns="http://schemas.openxmlformats.org/spreadsheetml/2006/main" xmlns:r="http://schemas.openxmlformats.org/officeDocument/2006/relationships">
  <sheetPr>
    <pageSetUpPr fitToPage="1"/>
  </sheetPr>
  <dimension ref="A1:N19"/>
  <sheetViews>
    <sheetView showGridLines="0" view="pageBreakPreview" zoomScale="80" zoomScaleSheetLayoutView="80" workbookViewId="0" topLeftCell="A1">
      <selection activeCell="I4" sqref="I4"/>
    </sheetView>
  </sheetViews>
  <sheetFormatPr defaultColWidth="9.140625" defaultRowHeight="12.75"/>
  <cols>
    <col min="2" max="2" width="6.421875" style="0" customWidth="1"/>
    <col min="4" max="4" width="14.28125" style="0" customWidth="1"/>
    <col min="5" max="5" width="11.7109375" style="0" bestFit="1" customWidth="1"/>
    <col min="6" max="6" width="13.00390625" style="0" bestFit="1" customWidth="1"/>
    <col min="7" max="7" width="17.7109375" style="0" customWidth="1"/>
    <col min="8" max="8" width="15.00390625" style="0" customWidth="1"/>
    <col min="9" max="9" width="23.140625" style="0" customWidth="1"/>
  </cols>
  <sheetData>
    <row r="1" ht="12.75">
      <c r="A1" s="192"/>
    </row>
    <row r="2" spans="9:14" ht="12.75">
      <c r="I2" s="59" t="s">
        <v>22</v>
      </c>
      <c r="J2" s="59"/>
      <c r="K2" s="59"/>
      <c r="L2" s="59"/>
      <c r="M2" s="59"/>
      <c r="N2" s="59"/>
    </row>
    <row r="4" spans="2:10" s="6" customFormat="1" ht="12.75">
      <c r="B4" s="392" t="s">
        <v>335</v>
      </c>
      <c r="C4" s="392"/>
      <c r="D4" s="392"/>
      <c r="I4" s="181" t="s">
        <v>8</v>
      </c>
      <c r="J4"/>
    </row>
    <row r="5" s="6" customFormat="1" ht="12.75"/>
    <row r="6" spans="2:9" s="6" customFormat="1" ht="18.75">
      <c r="B6" s="419" t="s">
        <v>334</v>
      </c>
      <c r="C6" s="419"/>
      <c r="D6" s="419"/>
      <c r="E6" s="419"/>
      <c r="F6" s="419"/>
      <c r="G6" s="419"/>
      <c r="H6" s="419"/>
      <c r="I6" s="419"/>
    </row>
    <row r="7" spans="3:9" s="6" customFormat="1" ht="13.5" thickBot="1">
      <c r="C7" s="157"/>
      <c r="D7" s="157"/>
      <c r="E7" s="158"/>
      <c r="F7" s="158"/>
      <c r="G7" s="158"/>
      <c r="H7" s="158"/>
      <c r="I7" s="158"/>
    </row>
    <row r="8" spans="2:9" s="6" customFormat="1" ht="40.5" customHeight="1">
      <c r="B8" s="149" t="s">
        <v>304</v>
      </c>
      <c r="C8" s="256" t="s">
        <v>49</v>
      </c>
      <c r="D8" s="259" t="s">
        <v>50</v>
      </c>
      <c r="E8" s="260" t="s">
        <v>51</v>
      </c>
      <c r="F8" s="259" t="s">
        <v>311</v>
      </c>
      <c r="G8" s="259" t="s">
        <v>312</v>
      </c>
      <c r="H8" s="259" t="s">
        <v>53</v>
      </c>
      <c r="I8" s="259" t="s">
        <v>54</v>
      </c>
    </row>
    <row r="9" spans="2:9" s="6" customFormat="1" ht="25.5" customHeight="1" thickBot="1">
      <c r="B9" s="149"/>
      <c r="C9" s="261" t="s">
        <v>55</v>
      </c>
      <c r="D9" s="261" t="s">
        <v>56</v>
      </c>
      <c r="E9" s="261" t="s">
        <v>57</v>
      </c>
      <c r="F9" s="261" t="s">
        <v>125</v>
      </c>
      <c r="G9" s="262" t="s">
        <v>354</v>
      </c>
      <c r="H9" s="262" t="s">
        <v>58</v>
      </c>
      <c r="I9" s="262" t="s">
        <v>59</v>
      </c>
    </row>
    <row r="10" spans="2:9" s="6" customFormat="1" ht="12.75">
      <c r="B10" s="149"/>
      <c r="C10" s="88" t="s">
        <v>60</v>
      </c>
      <c r="D10" s="263" t="s">
        <v>60</v>
      </c>
      <c r="E10" s="263" t="s">
        <v>60</v>
      </c>
      <c r="F10" s="263" t="s">
        <v>60</v>
      </c>
      <c r="G10" s="263" t="s">
        <v>60</v>
      </c>
      <c r="H10" s="263" t="s">
        <v>60</v>
      </c>
      <c r="I10" s="263" t="s">
        <v>60</v>
      </c>
    </row>
    <row r="11" spans="2:9" s="6" customFormat="1" ht="12.75">
      <c r="B11" s="149"/>
      <c r="C11" s="264" t="s">
        <v>61</v>
      </c>
      <c r="D11" s="265">
        <v>1304</v>
      </c>
      <c r="E11" s="266">
        <f>'Rta_1.2'!F26</f>
        <v>4.34</v>
      </c>
      <c r="F11" s="267">
        <f>+(1-(E11/1000))</f>
        <v>0.99566</v>
      </c>
      <c r="G11" s="267">
        <f>F11^5</f>
        <v>0.9784875403073194</v>
      </c>
      <c r="H11" s="268" t="s">
        <v>60</v>
      </c>
      <c r="I11" s="268" t="s">
        <v>60</v>
      </c>
    </row>
    <row r="12" spans="2:9" s="6" customFormat="1" ht="12.75">
      <c r="B12" s="149"/>
      <c r="C12" s="47" t="s">
        <v>62</v>
      </c>
      <c r="D12" s="269"/>
      <c r="E12" s="263">
        <f>'Rta_1.2'!F27</f>
        <v>4.24</v>
      </c>
      <c r="F12" s="270">
        <f>+(1-(E12/1000))</f>
        <v>0.99576</v>
      </c>
      <c r="G12" s="270">
        <f>F12^5</f>
        <v>0.97897901536436</v>
      </c>
      <c r="H12" s="366">
        <f>D11*G11</f>
        <v>1275.9477525607444</v>
      </c>
      <c r="I12" s="337" t="s">
        <v>60</v>
      </c>
    </row>
    <row r="13" spans="2:9" s="6" customFormat="1" ht="12.75">
      <c r="B13" s="48"/>
      <c r="C13" s="271" t="s">
        <v>63</v>
      </c>
      <c r="D13" s="272" t="s">
        <v>60</v>
      </c>
      <c r="E13" s="272" t="s">
        <v>60</v>
      </c>
      <c r="F13" s="272" t="s">
        <v>60</v>
      </c>
      <c r="G13" s="272" t="s">
        <v>60</v>
      </c>
      <c r="H13" s="268" t="s">
        <v>60</v>
      </c>
      <c r="I13" s="367">
        <f>H12*G12</f>
        <v>1249.1260744582858</v>
      </c>
    </row>
    <row r="14" spans="2:9" s="6" customFormat="1" ht="13.5" thickBot="1">
      <c r="B14" s="48"/>
      <c r="C14" s="273"/>
      <c r="D14" s="274"/>
      <c r="E14" s="274"/>
      <c r="F14" s="274"/>
      <c r="G14" s="274"/>
      <c r="H14" s="274"/>
      <c r="I14" s="159"/>
    </row>
    <row r="15" spans="2:8" s="6" customFormat="1" ht="12.75">
      <c r="B15" s="48"/>
      <c r="C15" s="58"/>
      <c r="D15" s="58"/>
      <c r="E15" s="58"/>
      <c r="F15" s="58"/>
      <c r="G15" s="58"/>
      <c r="H15" s="39"/>
    </row>
    <row r="16" spans="2:13" s="6" customFormat="1" ht="25.5" customHeight="1">
      <c r="B16" s="48"/>
      <c r="C16" s="427" t="s">
        <v>229</v>
      </c>
      <c r="D16" s="427"/>
      <c r="E16" s="427"/>
      <c r="F16" s="427"/>
      <c r="G16" s="427"/>
      <c r="H16" s="427"/>
      <c r="I16" s="427"/>
      <c r="J16" s="160"/>
      <c r="K16" s="160"/>
      <c r="L16" s="160"/>
      <c r="M16" s="160"/>
    </row>
    <row r="17" spans="2:13" s="6" customFormat="1" ht="12.75">
      <c r="B17" s="48"/>
      <c r="C17" s="427"/>
      <c r="D17" s="427"/>
      <c r="E17" s="427"/>
      <c r="F17" s="427"/>
      <c r="G17" s="427"/>
      <c r="H17" s="427"/>
      <c r="I17" s="427"/>
      <c r="J17"/>
      <c r="K17"/>
      <c r="L17"/>
      <c r="M17"/>
    </row>
    <row r="18" spans="2:8" s="6" customFormat="1" ht="15.75">
      <c r="B18" s="108"/>
      <c r="C18" s="434"/>
      <c r="D18" s="434"/>
      <c r="E18" s="434"/>
      <c r="F18" s="58"/>
      <c r="G18" s="58"/>
      <c r="H18" s="39"/>
    </row>
    <row r="19" spans="2:9" s="6" customFormat="1" ht="15.75">
      <c r="B19" s="36" t="s">
        <v>24</v>
      </c>
      <c r="C19" s="35"/>
      <c r="D19" s="35"/>
      <c r="E19" s="145"/>
      <c r="F19" s="35"/>
      <c r="G19" s="35"/>
      <c r="H19" s="145"/>
      <c r="I19" s="34" t="s">
        <v>21</v>
      </c>
    </row>
    <row r="20" s="6" customFormat="1" ht="12.75"/>
    <row r="21" s="6" customFormat="1" ht="12.75"/>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sheetData>
  <mergeCells count="4">
    <mergeCell ref="B6:I6"/>
    <mergeCell ref="C16:I17"/>
    <mergeCell ref="C18:E18"/>
    <mergeCell ref="B4:D4"/>
  </mergeCells>
  <hyperlinks>
    <hyperlink ref="I4" location="Índice!B6" display="Volver al índice"/>
    <hyperlink ref="B4" location="Ejercicios!B6" display="Volver a ejercicios"/>
  </hyperlinks>
  <printOptions horizontalCentered="1" verticalCentered="1"/>
  <pageMargins left="0.75" right="0.75" top="1" bottom="1" header="0.5" footer="0.5"/>
  <pageSetup fitToHeight="1" fitToWidth="1" horizontalDpi="600" verticalDpi="600" orientation="landscape" scale="96"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Juan Camilo Chaparro</cp:lastModifiedBy>
  <cp:lastPrinted>2004-10-15T13:26:41Z</cp:lastPrinted>
  <dcterms:created xsi:type="dcterms:W3CDTF">2004-06-07T20:52:56Z</dcterms:created>
  <dcterms:modified xsi:type="dcterms:W3CDTF">2008-07-16T18:25:43Z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-24871920</vt:i4>
  </property>
  <property fmtid="{D5CDD505-2E9C-101B-9397-08002B2CF9AE}" pid="3" name="_EmailSubject">
    <vt:lpwstr>cap1cd_final.xls</vt:lpwstr>
  </property>
  <property fmtid="{D5CDD505-2E9C-101B-9397-08002B2CF9AE}" pid="4" name="_AuthorEmail">
    <vt:lpwstr>ericardenas@hotmail.com</vt:lpwstr>
  </property>
  <property fmtid="{D5CDD505-2E9C-101B-9397-08002B2CF9AE}" pid="5" name="_AuthorEmailDisplayName">
    <vt:lpwstr>Eric Cardenas</vt:lpwstr>
  </property>
  <property fmtid="{D5CDD505-2E9C-101B-9397-08002B2CF9AE}" pid="6" name="_ReviewingToolsShownOnce">
    <vt:lpwstr/>
  </property>
</Properties>
</file>