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tabRatio="676" firstSheet="2" activeTab="4"/>
  </bookViews>
  <sheets>
    <sheet name="Comprobación de Diseño" sheetId="1" r:id="rId1"/>
    <sheet name="f - NEWTON" sheetId="2" r:id="rId2"/>
    <sheet name="f - NEWTON-RAPHSON" sheetId="3" r:id="rId3"/>
    <sheet name="Cálculo de Potencia" sheetId="4" r:id="rId4"/>
    <sheet name="Diseño de Tuberías Simples" sheetId="5" r:id="rId5"/>
    <sheet name="Diseño-Altas pérdidas menores" sheetId="6" r:id="rId6"/>
    <sheet name="Calibración de la tubería" sheetId="7" r:id="rId7"/>
  </sheets>
  <definedNames>
    <definedName name="Alt">'Comprobación de Diseño'!$C$12</definedName>
    <definedName name="Are">'Calibración de la tubería'!$G$8</definedName>
    <definedName name="Cab">'Comprobación de Diseño'!$C$11</definedName>
    <definedName name="Cau">'Calibración de la tubería'!$C$15</definedName>
    <definedName name="Ddiam" localSheetId="5">'Diseño-Altas pérdidas menores'!#REF!</definedName>
    <definedName name="Ddiam">#REF!</definedName>
    <definedName name="Den">'Comprobación de Diseño'!$C$14</definedName>
    <definedName name="Dia">'Comprobación de Diseño'!$C$5</definedName>
    <definedName name="Err">'Comprobación de Diseño'!$C$18</definedName>
    <definedName name="f">'Calibración de la tubería'!$G$12</definedName>
    <definedName name="ffri">'Calibración de la tubería'!$G$12</definedName>
    <definedName name="Gra">'Comprobación de Diseño'!$C$19</definedName>
    <definedName name="Km">'Comprobación de Diseño'!$C$9</definedName>
    <definedName name="Ks">'Comprobación de Diseño'!$C$7</definedName>
    <definedName name="Lon">'Comprobación de Diseño'!$C$6</definedName>
    <definedName name="Long" localSheetId="5">'Diseño-Altas pérdidas menores'!#REF!</definedName>
    <definedName name="Long">#REF!</definedName>
    <definedName name="Pfri">'Calibración de la tubería'!$G$11</definedName>
    <definedName name="Pmen">'Calibración de la tubería'!$G$10</definedName>
    <definedName name="Qd" localSheetId="5">'Diseño-Altas pérdidas menores'!#REF!</definedName>
    <definedName name="Qd">#REF!</definedName>
    <definedName name="Rey">'Calibración de la tubería'!$G$13</definedName>
    <definedName name="Rug" localSheetId="5">'Diseño-Altas pérdidas menores'!#REF!</definedName>
    <definedName name="Rug">#REF!</definedName>
    <definedName name="Vcin">'Comprobación de Diseño'!$C$15</definedName>
    <definedName name="Vdin">'Comprobación de Diseño'!$C$16</definedName>
    <definedName name="Vel">'Calibración de la tubería'!$G$9</definedName>
    <definedName name="Vidin">'Comprobación de Diseño'!$C$15</definedName>
    <definedName name="Vis.dinam">'Comprobación de Diseño'!$C$15</definedName>
    <definedName name="VisCin" localSheetId="5">'Diseño-Altas pérdidas menores'!#REF!</definedName>
    <definedName name="VisCin">#REF!</definedName>
    <definedName name="VisDin" localSheetId="5">'Diseño-Altas pérdidas menores'!#REF!</definedName>
    <definedName name="VisDin">#REF!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<sst xmlns="http://schemas.openxmlformats.org/spreadsheetml/2006/main" count="301" uniqueCount="103">
  <si>
    <t>DATOS</t>
  </si>
  <si>
    <t>Ks</t>
  </si>
  <si>
    <t>L</t>
  </si>
  <si>
    <t>H</t>
  </si>
  <si>
    <t>Km</t>
  </si>
  <si>
    <t>Características del fluido</t>
  </si>
  <si>
    <t>r</t>
  </si>
  <si>
    <t>m</t>
  </si>
  <si>
    <t>Z</t>
  </si>
  <si>
    <t>E</t>
  </si>
  <si>
    <t>Ks/d</t>
  </si>
  <si>
    <t>v</t>
  </si>
  <si>
    <t>Características de la tubería</t>
  </si>
  <si>
    <t>Accesorios</t>
  </si>
  <si>
    <t>Características Topográficas</t>
  </si>
  <si>
    <t>(m)</t>
  </si>
  <si>
    <t>(m/s)</t>
  </si>
  <si>
    <t>Otros</t>
  </si>
  <si>
    <t>g</t>
  </si>
  <si>
    <t>n</t>
  </si>
  <si>
    <t>Pa.s</t>
  </si>
  <si>
    <t>Prueba</t>
  </si>
  <si>
    <t>CONVENCIÓN</t>
  </si>
  <si>
    <t>No</t>
  </si>
  <si>
    <t>Sí</t>
  </si>
  <si>
    <t>Q</t>
  </si>
  <si>
    <t>d</t>
  </si>
  <si>
    <t>Re</t>
  </si>
  <si>
    <t>f (semilla)</t>
  </si>
  <si>
    <t>f</t>
  </si>
  <si>
    <t>x</t>
  </si>
  <si>
    <t>g(x)</t>
  </si>
  <si>
    <t>Características de la bomba</t>
  </si>
  <si>
    <t>h</t>
  </si>
  <si>
    <t>Características del flujo</t>
  </si>
  <si>
    <t>A</t>
  </si>
  <si>
    <t>V</t>
  </si>
  <si>
    <t>hm</t>
  </si>
  <si>
    <t>hf</t>
  </si>
  <si>
    <t>Gravedad</t>
  </si>
  <si>
    <t>kW</t>
  </si>
  <si>
    <t>m/s</t>
  </si>
  <si>
    <t>-</t>
  </si>
  <si>
    <t>Qd</t>
  </si>
  <si>
    <r>
      <t>m</t>
    </r>
    <r>
      <rPr>
        <b/>
        <vertAlign val="superscript"/>
        <sz val="12"/>
        <rFont val="Times New Roman"/>
        <family val="1"/>
      </rPr>
      <t>2</t>
    </r>
  </si>
  <si>
    <r>
      <t>m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/s</t>
    </r>
  </si>
  <si>
    <t>Diámetros</t>
  </si>
  <si>
    <t>inches</t>
  </si>
  <si>
    <t>( - )</t>
  </si>
  <si>
    <t>RESULTADOS</t>
  </si>
  <si>
    <t>Caudal</t>
  </si>
  <si>
    <t>Hf</t>
  </si>
  <si>
    <t>Hm</t>
  </si>
  <si>
    <t>Velocidad</t>
  </si>
  <si>
    <r>
      <t>Kg/m</t>
    </r>
    <r>
      <rPr>
        <b/>
        <vertAlign val="superscript"/>
        <sz val="12"/>
        <rFont val="Times New Roman"/>
        <family val="1"/>
      </rPr>
      <t>3</t>
    </r>
  </si>
  <si>
    <r>
      <t>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/s</t>
    </r>
  </si>
  <si>
    <r>
      <t>m/s</t>
    </r>
    <r>
      <rPr>
        <b/>
        <vertAlign val="superscript"/>
        <sz val="12"/>
        <rFont val="Times New Roman"/>
        <family val="1"/>
      </rPr>
      <t>2</t>
    </r>
  </si>
  <si>
    <t>Potencia</t>
  </si>
  <si>
    <t>(in)</t>
  </si>
  <si>
    <t>Q&gt;=Qd</t>
  </si>
  <si>
    <t>(SI/NO)</t>
  </si>
  <si>
    <t>El primer diámetro es supuesto</t>
  </si>
  <si>
    <t>in</t>
  </si>
  <si>
    <t>Diámetro</t>
  </si>
  <si>
    <t>mm</t>
  </si>
  <si>
    <t>f1 (semilla)</t>
  </si>
  <si>
    <t>Error</t>
  </si>
  <si>
    <t>X</t>
  </si>
  <si>
    <t>F(X)</t>
  </si>
  <si>
    <t>F'(X)</t>
  </si>
  <si>
    <t>f*</t>
  </si>
  <si>
    <t>Vp</t>
  </si>
  <si>
    <t>V &lt; Vp</t>
  </si>
  <si>
    <r>
      <t>(m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/s)</t>
    </r>
  </si>
  <si>
    <t>COMPROBACIÓN DE DISEÑO DE TUBERÍAS SIMPLES</t>
  </si>
  <si>
    <t xml:space="preserve">CÁLCULO DE FACTOR DE FRICCIÓN f POR EL MÉTODO DE NEWTON </t>
  </si>
  <si>
    <t xml:space="preserve">CÁLCULO DE FACTOR DE FRICCIÓN f POR EL MÉTODO DE NEWTON-RAPHSON </t>
  </si>
  <si>
    <t xml:space="preserve">CÁLCULO DE POTENCIA EN TUBERÍAS SIMPLES </t>
  </si>
  <si>
    <t>DISEÑO DE TUBERÍAS SIMPLES</t>
  </si>
  <si>
    <t>DISEÑO DE TUBERÍAS SIMPLES CON ALTAS PÉRDIDAS MENORES</t>
  </si>
  <si>
    <t xml:space="preserve">CALIBRACIÓN DE TUBERÍAS SIMPLES </t>
  </si>
  <si>
    <r>
      <t>Kg/m</t>
    </r>
    <r>
      <rPr>
        <b/>
        <vertAlign val="superscript"/>
        <sz val="10"/>
        <rFont val="Times New Roman"/>
        <family val="1"/>
      </rPr>
      <t>3</t>
    </r>
  </si>
  <si>
    <r>
      <t>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/s</t>
    </r>
  </si>
  <si>
    <r>
      <t>m/s</t>
    </r>
    <r>
      <rPr>
        <b/>
        <vertAlign val="superscript"/>
        <sz val="10"/>
        <rFont val="Times New Roman"/>
        <family val="1"/>
      </rPr>
      <t>2</t>
    </r>
  </si>
  <si>
    <r>
      <t>hf</t>
    </r>
    <r>
      <rPr>
        <b/>
        <vertAlign val="subscript"/>
        <sz val="10"/>
        <color indexed="9"/>
        <rFont val="Times New Roman"/>
        <family val="1"/>
      </rPr>
      <t>i</t>
    </r>
  </si>
  <si>
    <r>
      <t>hf</t>
    </r>
    <r>
      <rPr>
        <b/>
        <vertAlign val="subscript"/>
        <sz val="10"/>
        <color indexed="9"/>
        <rFont val="Times New Roman"/>
        <family val="1"/>
      </rPr>
      <t>i+1</t>
    </r>
  </si>
  <si>
    <r>
      <t>(m</t>
    </r>
    <r>
      <rPr>
        <b/>
        <vertAlign val="superscript"/>
        <sz val="10"/>
        <color indexed="9"/>
        <rFont val="Times New Roman"/>
        <family val="1"/>
      </rPr>
      <t>3</t>
    </r>
    <r>
      <rPr>
        <b/>
        <sz val="10"/>
        <color indexed="9"/>
        <rFont val="Times New Roman"/>
        <family val="1"/>
      </rPr>
      <t>/s)</t>
    </r>
  </si>
  <si>
    <r>
      <t>X</t>
    </r>
    <r>
      <rPr>
        <b/>
        <vertAlign val="subscript"/>
        <sz val="14"/>
        <color indexed="9"/>
        <rFont val="Times New Roman"/>
        <family val="1"/>
      </rPr>
      <t>i+1</t>
    </r>
  </si>
  <si>
    <r>
      <t>X ≈ X</t>
    </r>
    <r>
      <rPr>
        <b/>
        <vertAlign val="subscript"/>
        <sz val="14"/>
        <color indexed="9"/>
        <rFont val="Times New Roman"/>
        <family val="1"/>
      </rPr>
      <t>i+1</t>
    </r>
    <r>
      <rPr>
        <b/>
        <sz val="14"/>
        <color indexed="9"/>
        <rFont val="Times New Roman"/>
        <family val="1"/>
      </rPr>
      <t xml:space="preserve"> ?</t>
    </r>
  </si>
  <si>
    <r>
      <t>m</t>
    </r>
    <r>
      <rPr>
        <b/>
        <vertAlign val="superscript"/>
        <sz val="14"/>
        <rFont val="Times New Roman"/>
        <family val="1"/>
      </rPr>
      <t>2</t>
    </r>
  </si>
  <si>
    <r>
      <t>Kg/m</t>
    </r>
    <r>
      <rPr>
        <b/>
        <vertAlign val="superscript"/>
        <sz val="14"/>
        <rFont val="Times New Roman"/>
        <family val="1"/>
      </rPr>
      <t>3</t>
    </r>
  </si>
  <si>
    <r>
      <t>m</t>
    </r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>/s</t>
    </r>
  </si>
  <si>
    <r>
      <t>m</t>
    </r>
    <r>
      <rPr>
        <b/>
        <vertAlign val="superscript"/>
        <sz val="14"/>
        <rFont val="Times New Roman"/>
        <family val="1"/>
      </rPr>
      <t>3</t>
    </r>
    <r>
      <rPr>
        <b/>
        <sz val="14"/>
        <rFont val="Times New Roman"/>
        <family val="1"/>
      </rPr>
      <t>/s</t>
    </r>
  </si>
  <si>
    <r>
      <t>m/s</t>
    </r>
    <r>
      <rPr>
        <b/>
        <vertAlign val="superscript"/>
        <sz val="14"/>
        <rFont val="Times New Roman"/>
        <family val="1"/>
      </rPr>
      <t>2</t>
    </r>
  </si>
  <si>
    <r>
      <t>m</t>
    </r>
    <r>
      <rPr>
        <b/>
        <vertAlign val="superscript"/>
        <sz val="16"/>
        <rFont val="Times New Roman"/>
        <family val="1"/>
      </rPr>
      <t>2</t>
    </r>
  </si>
  <si>
    <r>
      <t>Kg/m</t>
    </r>
    <r>
      <rPr>
        <b/>
        <vertAlign val="superscript"/>
        <sz val="16"/>
        <rFont val="Times New Roman"/>
        <family val="1"/>
      </rPr>
      <t>3</t>
    </r>
  </si>
  <si>
    <r>
      <t>m</t>
    </r>
    <r>
      <rPr>
        <b/>
        <vertAlign val="superscript"/>
        <sz val="16"/>
        <rFont val="Times New Roman"/>
        <family val="1"/>
      </rPr>
      <t>2</t>
    </r>
    <r>
      <rPr>
        <b/>
        <sz val="16"/>
        <rFont val="Times New Roman"/>
        <family val="1"/>
      </rPr>
      <t>/s</t>
    </r>
  </si>
  <si>
    <r>
      <t>m</t>
    </r>
    <r>
      <rPr>
        <b/>
        <vertAlign val="superscript"/>
        <sz val="16"/>
        <rFont val="Times New Roman"/>
        <family val="1"/>
      </rPr>
      <t>3</t>
    </r>
    <r>
      <rPr>
        <b/>
        <sz val="16"/>
        <rFont val="Times New Roman"/>
        <family val="1"/>
      </rPr>
      <t>/s</t>
    </r>
  </si>
  <si>
    <r>
      <t>m/s</t>
    </r>
    <r>
      <rPr>
        <b/>
        <vertAlign val="superscript"/>
        <sz val="16"/>
        <rFont val="Times New Roman"/>
        <family val="1"/>
      </rPr>
      <t>2</t>
    </r>
  </si>
  <si>
    <r>
      <t>D</t>
    </r>
    <r>
      <rPr>
        <b/>
        <sz val="14"/>
        <rFont val="Arial"/>
        <family val="2"/>
      </rPr>
      <t>d</t>
    </r>
  </si>
  <si>
    <r>
      <t>hf</t>
    </r>
    <r>
      <rPr>
        <b/>
        <vertAlign val="subscript"/>
        <sz val="14"/>
        <color indexed="9"/>
        <rFont val="Times New Roman"/>
        <family val="1"/>
      </rPr>
      <t>i+1</t>
    </r>
  </si>
  <si>
    <r>
      <t>m</t>
    </r>
    <r>
      <rPr>
        <b/>
        <vertAlign val="superscript"/>
        <sz val="14"/>
        <color indexed="9"/>
        <rFont val="Times New Roman"/>
        <family val="1"/>
      </rPr>
      <t>2</t>
    </r>
  </si>
  <si>
    <r>
      <t>(m</t>
    </r>
    <r>
      <rPr>
        <b/>
        <vertAlign val="superscript"/>
        <sz val="14"/>
        <color indexed="9"/>
        <rFont val="Times New Roman"/>
        <family val="1"/>
      </rPr>
      <t>3</t>
    </r>
    <r>
      <rPr>
        <b/>
        <sz val="14"/>
        <color indexed="9"/>
        <rFont val="Times New Roman"/>
        <family val="1"/>
      </rPr>
      <t>/s)</t>
    </r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</si>
</sst>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000"/>
    <numFmt numFmtId="182" formatCode="0.00000000000"/>
    <numFmt numFmtId="183" formatCode="0.000000000"/>
    <numFmt numFmtId="184" formatCode="0.00000000"/>
    <numFmt numFmtId="185" formatCode="0.0000000"/>
    <numFmt numFmtId="186" formatCode="0.000E+00"/>
    <numFmt numFmtId="187" formatCode="[$-240A]hh:mm:ss\ AM/PM"/>
    <numFmt numFmtId="188" formatCode="[$-240A]dddd\,\ dd&quot; de &quot;mmmm&quot; de &quot;yyyy"/>
    <numFmt numFmtId="189" formatCode="0.000000E+00"/>
    <numFmt numFmtId="190" formatCode="0.00000E+00"/>
    <numFmt numFmtId="191" formatCode="0.0000E+0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Symbol"/>
      <family val="1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0"/>
    </font>
    <font>
      <sz val="10"/>
      <name val="Symbol"/>
      <family val="1"/>
    </font>
    <font>
      <b/>
      <sz val="10"/>
      <color indexed="62"/>
      <name val="Arial"/>
      <family val="0"/>
    </font>
    <font>
      <b/>
      <sz val="15.5"/>
      <name val="Arial"/>
      <family val="2"/>
    </font>
    <font>
      <b/>
      <sz val="14.25"/>
      <name val="Arial"/>
      <family val="2"/>
    </font>
    <font>
      <b/>
      <sz val="14"/>
      <name val="Arial"/>
      <family val="2"/>
    </font>
    <font>
      <sz val="11.75"/>
      <name val="Arial"/>
      <family val="0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color indexed="9"/>
      <name val="Times New Roman"/>
      <family val="1"/>
    </font>
    <font>
      <b/>
      <vertAlign val="subscript"/>
      <sz val="10"/>
      <color indexed="9"/>
      <name val="Times New Roman"/>
      <family val="1"/>
    </font>
    <font>
      <b/>
      <vertAlign val="superscript"/>
      <sz val="10"/>
      <color indexed="9"/>
      <name val="Times New Roman"/>
      <family val="1"/>
    </font>
    <font>
      <b/>
      <sz val="12"/>
      <color indexed="12"/>
      <name val="Arial"/>
      <family val="2"/>
    </font>
    <font>
      <b/>
      <sz val="14"/>
      <color indexed="9"/>
      <name val="Arial"/>
      <family val="2"/>
    </font>
    <font>
      <sz val="14"/>
      <name val="Arial"/>
      <family val="0"/>
    </font>
    <font>
      <b/>
      <sz val="14"/>
      <color indexed="9"/>
      <name val="Times New Roman"/>
      <family val="1"/>
    </font>
    <font>
      <b/>
      <vertAlign val="subscript"/>
      <sz val="14"/>
      <color indexed="9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4"/>
      <name val="Symbol"/>
      <family val="1"/>
    </font>
    <font>
      <sz val="14"/>
      <name val="Times New Roman"/>
      <family val="1"/>
    </font>
    <font>
      <b/>
      <sz val="16"/>
      <name val="Arial"/>
      <family val="2"/>
    </font>
    <font>
      <sz val="16"/>
      <name val="Arial"/>
      <family val="0"/>
    </font>
    <font>
      <b/>
      <sz val="16"/>
      <color indexed="9"/>
      <name val="Arial"/>
      <family val="2"/>
    </font>
    <font>
      <b/>
      <sz val="16"/>
      <name val="Times New Roman"/>
      <family val="1"/>
    </font>
    <font>
      <b/>
      <vertAlign val="superscript"/>
      <sz val="16"/>
      <name val="Times New Roman"/>
      <family val="1"/>
    </font>
    <font>
      <b/>
      <sz val="16"/>
      <name val="Symbol"/>
      <family val="1"/>
    </font>
    <font>
      <sz val="16"/>
      <name val="Times New Roman"/>
      <family val="1"/>
    </font>
    <font>
      <sz val="14"/>
      <color indexed="9"/>
      <name val="Arial"/>
      <family val="0"/>
    </font>
    <font>
      <b/>
      <vertAlign val="superscript"/>
      <sz val="14"/>
      <color indexed="9"/>
      <name val="Times New Roman"/>
      <family val="1"/>
    </font>
    <font>
      <b/>
      <sz val="14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4" fontId="0" fillId="0" borderId="0" xfId="0" applyNumberFormat="1" applyBorder="1" applyAlignment="1">
      <alignment/>
    </xf>
    <xf numFmtId="0" fontId="7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1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77" fontId="0" fillId="0" borderId="0" xfId="0" applyNumberFormat="1" applyFill="1" applyBorder="1" applyAlignment="1">
      <alignment horizontal="center"/>
    </xf>
    <xf numFmtId="178" fontId="0" fillId="0" borderId="0" xfId="0" applyNumberFormat="1" applyFill="1" applyBorder="1" applyAlignment="1">
      <alignment horizontal="center"/>
    </xf>
    <xf numFmtId="0" fontId="9" fillId="0" borderId="0" xfId="0" applyFont="1" applyFill="1" applyAlignment="1">
      <alignment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77" fontId="14" fillId="0" borderId="0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14" xfId="0" applyFill="1" applyBorder="1" applyAlignment="1">
      <alignment/>
    </xf>
    <xf numFmtId="0" fontId="1" fillId="3" borderId="4" xfId="0" applyFont="1" applyFill="1" applyBorder="1" applyAlignment="1">
      <alignment horizontal="center"/>
    </xf>
    <xf numFmtId="184" fontId="0" fillId="0" borderId="0" xfId="0" applyNumberForma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wrapText="1"/>
    </xf>
    <xf numFmtId="177" fontId="0" fillId="0" borderId="0" xfId="0" applyNumberFormat="1" applyAlignment="1">
      <alignment/>
    </xf>
    <xf numFmtId="177" fontId="0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right"/>
    </xf>
    <xf numFmtId="177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1" fontId="0" fillId="0" borderId="0" xfId="0" applyNumberFormat="1" applyFont="1" applyAlignment="1">
      <alignment horizontal="right"/>
    </xf>
    <xf numFmtId="0" fontId="1" fillId="2" borderId="7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1" fontId="0" fillId="2" borderId="9" xfId="0" applyNumberFormat="1" applyFill="1" applyBorder="1" applyAlignment="1">
      <alignment/>
    </xf>
    <xf numFmtId="176" fontId="3" fillId="2" borderId="5" xfId="0" applyNumberFormat="1" applyFont="1" applyFill="1" applyBorder="1" applyAlignment="1" quotePrefix="1">
      <alignment horizontal="right"/>
    </xf>
    <xf numFmtId="1" fontId="0" fillId="2" borderId="5" xfId="0" applyNumberFormat="1" applyFill="1" applyBorder="1" applyAlignment="1">
      <alignment/>
    </xf>
    <xf numFmtId="1" fontId="0" fillId="2" borderId="6" xfId="0" applyNumberFormat="1" applyFill="1" applyBorder="1" applyAlignment="1">
      <alignment/>
    </xf>
    <xf numFmtId="0" fontId="9" fillId="0" borderId="0" xfId="0" applyFont="1" applyAlignment="1">
      <alignment/>
    </xf>
    <xf numFmtId="0" fontId="16" fillId="0" borderId="0" xfId="0" applyFont="1" applyFill="1" applyBorder="1" applyAlignment="1">
      <alignment horizontal="right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177" fontId="0" fillId="0" borderId="15" xfId="0" applyNumberFormat="1" applyFill="1" applyBorder="1" applyAlignment="1">
      <alignment/>
    </xf>
    <xf numFmtId="0" fontId="1" fillId="3" borderId="8" xfId="0" applyFont="1" applyFill="1" applyBorder="1" applyAlignment="1">
      <alignment/>
    </xf>
    <xf numFmtId="0" fontId="18" fillId="4" borderId="3" xfId="0" applyFont="1" applyFill="1" applyBorder="1" applyAlignment="1">
      <alignment horizontal="center"/>
    </xf>
    <xf numFmtId="0" fontId="18" fillId="4" borderId="16" xfId="0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8" fillId="4" borderId="17" xfId="0" applyFont="1" applyFill="1" applyBorder="1" applyAlignment="1">
      <alignment horizontal="center"/>
    </xf>
    <xf numFmtId="0" fontId="0" fillId="3" borderId="4" xfId="0" applyFill="1" applyBorder="1" applyAlignment="1">
      <alignment/>
    </xf>
    <xf numFmtId="0" fontId="18" fillId="4" borderId="4" xfId="0" applyFont="1" applyFill="1" applyBorder="1" applyAlignment="1">
      <alignment horizontal="center"/>
    </xf>
    <xf numFmtId="0" fontId="18" fillId="4" borderId="18" xfId="0" applyFont="1" applyFill="1" applyBorder="1" applyAlignment="1">
      <alignment horizontal="center"/>
    </xf>
    <xf numFmtId="0" fontId="18" fillId="4" borderId="19" xfId="0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4" fillId="3" borderId="2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left"/>
    </xf>
    <xf numFmtId="177" fontId="1" fillId="3" borderId="20" xfId="0" applyNumberFormat="1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0" fillId="0" borderId="4" xfId="0" applyFill="1" applyBorder="1" applyAlignment="1">
      <alignment/>
    </xf>
    <xf numFmtId="185" fontId="0" fillId="0" borderId="0" xfId="0" applyNumberFormat="1" applyAlignment="1">
      <alignment/>
    </xf>
    <xf numFmtId="0" fontId="0" fillId="2" borderId="3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19" fillId="2" borderId="3" xfId="0" applyFont="1" applyFill="1" applyBorder="1" applyAlignment="1">
      <alignment/>
    </xf>
    <xf numFmtId="0" fontId="19" fillId="2" borderId="1" xfId="0" applyFont="1" applyFill="1" applyBorder="1" applyAlignment="1">
      <alignment/>
    </xf>
    <xf numFmtId="0" fontId="19" fillId="2" borderId="2" xfId="0" applyFont="1" applyFill="1" applyBorder="1" applyAlignment="1">
      <alignment/>
    </xf>
    <xf numFmtId="1" fontId="0" fillId="0" borderId="15" xfId="0" applyNumberForma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77" fontId="0" fillId="0" borderId="0" xfId="0" applyNumberFormat="1" applyFont="1" applyFill="1" applyBorder="1" applyAlignment="1">
      <alignment horizontal="right"/>
    </xf>
    <xf numFmtId="177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8" fillId="0" borderId="0" xfId="0" applyFont="1" applyBorder="1" applyAlignment="1">
      <alignment vertical="center" wrapText="1"/>
    </xf>
    <xf numFmtId="0" fontId="0" fillId="5" borderId="9" xfId="0" applyFill="1" applyBorder="1" applyAlignment="1">
      <alignment/>
    </xf>
    <xf numFmtId="0" fontId="0" fillId="5" borderId="16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17" xfId="0" applyFill="1" applyBorder="1" applyAlignment="1">
      <alignment/>
    </xf>
    <xf numFmtId="0" fontId="0" fillId="5" borderId="14" xfId="0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" borderId="9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177" fontId="26" fillId="2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7" fillId="2" borderId="7" xfId="0" applyFont="1" applyFill="1" applyBorder="1" applyAlignment="1">
      <alignment/>
    </xf>
    <xf numFmtId="0" fontId="0" fillId="0" borderId="0" xfId="0" applyFont="1" applyFill="1" applyAlignment="1">
      <alignment/>
    </xf>
    <xf numFmtId="0" fontId="27" fillId="2" borderId="2" xfId="0" applyFont="1" applyFill="1" applyBorder="1" applyAlignment="1">
      <alignment/>
    </xf>
    <xf numFmtId="0" fontId="29" fillId="4" borderId="3" xfId="0" applyFont="1" applyFill="1" applyBorder="1" applyAlignment="1">
      <alignment horizontal="center"/>
    </xf>
    <xf numFmtId="0" fontId="29" fillId="4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11" fontId="7" fillId="0" borderId="16" xfId="0" applyNumberFormat="1" applyFont="1" applyFill="1" applyBorder="1" applyAlignment="1">
      <alignment horizontal="center"/>
    </xf>
    <xf numFmtId="178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 horizontal="center"/>
    </xf>
    <xf numFmtId="11" fontId="7" fillId="0" borderId="0" xfId="0" applyNumberFormat="1" applyFont="1" applyFill="1" applyBorder="1" applyAlignment="1">
      <alignment horizontal="center"/>
    </xf>
    <xf numFmtId="178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Alignment="1">
      <alignment/>
    </xf>
    <xf numFmtId="177" fontId="2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84" fontId="7" fillId="0" borderId="0" xfId="0" applyNumberFormat="1" applyFont="1" applyFill="1" applyBorder="1" applyAlignment="1">
      <alignment/>
    </xf>
    <xf numFmtId="184" fontId="7" fillId="0" borderId="0" xfId="0" applyNumberFormat="1" applyFont="1" applyBorder="1" applyAlignment="1">
      <alignment/>
    </xf>
    <xf numFmtId="185" fontId="7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177" fontId="6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177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/>
    </xf>
    <xf numFmtId="0" fontId="13" fillId="3" borderId="2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 wrapText="1"/>
    </xf>
    <xf numFmtId="177" fontId="6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177" fontId="0" fillId="0" borderId="0" xfId="0" applyNumberFormat="1" applyFont="1" applyFill="1" applyBorder="1" applyAlignment="1">
      <alignment horizontal="right"/>
    </xf>
    <xf numFmtId="0" fontId="33" fillId="4" borderId="18" xfId="0" applyFont="1" applyFill="1" applyBorder="1" applyAlignment="1">
      <alignment horizontal="center"/>
    </xf>
    <xf numFmtId="0" fontId="33" fillId="4" borderId="19" xfId="0" applyFont="1" applyFill="1" applyBorder="1" applyAlignment="1">
      <alignment horizontal="center"/>
    </xf>
    <xf numFmtId="0" fontId="33" fillId="4" borderId="20" xfId="0" applyFont="1" applyFill="1" applyBorder="1" applyAlignment="1">
      <alignment horizontal="center"/>
    </xf>
    <xf numFmtId="0" fontId="33" fillId="4" borderId="18" xfId="0" applyFont="1" applyFill="1" applyBorder="1" applyAlignment="1">
      <alignment horizontal="center"/>
    </xf>
    <xf numFmtId="0" fontId="33" fillId="4" borderId="19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4" fillId="3" borderId="9" xfId="0" applyFont="1" applyFill="1" applyBorder="1" applyAlignment="1">
      <alignment/>
    </xf>
    <xf numFmtId="0" fontId="34" fillId="2" borderId="3" xfId="0" applyFont="1" applyFill="1" applyBorder="1" applyAlignment="1">
      <alignment/>
    </xf>
    <xf numFmtId="0" fontId="34" fillId="3" borderId="10" xfId="0" applyFont="1" applyFill="1" applyBorder="1" applyAlignment="1">
      <alignment/>
    </xf>
    <xf numFmtId="0" fontId="34" fillId="3" borderId="5" xfId="0" applyFont="1" applyFill="1" applyBorder="1" applyAlignment="1">
      <alignment/>
    </xf>
    <xf numFmtId="0" fontId="34" fillId="2" borderId="1" xfId="0" applyFont="1" applyFill="1" applyBorder="1" applyAlignment="1">
      <alignment/>
    </xf>
    <xf numFmtId="0" fontId="34" fillId="3" borderId="7" xfId="0" applyFont="1" applyFill="1" applyBorder="1" applyAlignment="1">
      <alignment/>
    </xf>
    <xf numFmtId="0" fontId="34" fillId="3" borderId="4" xfId="0" applyFont="1" applyFill="1" applyBorder="1" applyAlignment="1">
      <alignment/>
    </xf>
    <xf numFmtId="178" fontId="34" fillId="0" borderId="4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3" borderId="5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34" fillId="3" borderId="6" xfId="0" applyFont="1" applyFill="1" applyBorder="1" applyAlignment="1">
      <alignment/>
    </xf>
    <xf numFmtId="0" fontId="34" fillId="2" borderId="2" xfId="0" applyFont="1" applyFill="1" applyBorder="1" applyAlignment="1">
      <alignment/>
    </xf>
    <xf numFmtId="0" fontId="34" fillId="3" borderId="14" xfId="0" applyFont="1" applyFill="1" applyBorder="1" applyAlignment="1">
      <alignment/>
    </xf>
    <xf numFmtId="0" fontId="33" fillId="4" borderId="4" xfId="0" applyFont="1" applyFill="1" applyBorder="1" applyAlignment="1">
      <alignment horizontal="center"/>
    </xf>
    <xf numFmtId="0" fontId="35" fillId="4" borderId="4" xfId="0" applyFont="1" applyFill="1" applyBorder="1" applyAlignment="1">
      <alignment horizontal="center"/>
    </xf>
    <xf numFmtId="185" fontId="34" fillId="0" borderId="0" xfId="0" applyNumberFormat="1" applyFont="1" applyAlignment="1">
      <alignment/>
    </xf>
    <xf numFmtId="178" fontId="34" fillId="0" borderId="0" xfId="0" applyNumberFormat="1" applyFont="1" applyAlignment="1">
      <alignment/>
    </xf>
    <xf numFmtId="0" fontId="23" fillId="0" borderId="0" xfId="0" applyFont="1" applyBorder="1" applyAlignment="1">
      <alignment vertical="center" wrapText="1"/>
    </xf>
    <xf numFmtId="0" fontId="23" fillId="2" borderId="9" xfId="0" applyFont="1" applyFill="1" applyBorder="1" applyAlignment="1">
      <alignment/>
    </xf>
    <xf numFmtId="0" fontId="23" fillId="2" borderId="10" xfId="0" applyFont="1" applyFill="1" applyBorder="1" applyAlignment="1">
      <alignment/>
    </xf>
    <xf numFmtId="0" fontId="23" fillId="3" borderId="19" xfId="0" applyFont="1" applyFill="1" applyBorder="1" applyAlignment="1">
      <alignment horizontal="center"/>
    </xf>
    <xf numFmtId="0" fontId="33" fillId="4" borderId="17" xfId="0" applyFont="1" applyFill="1" applyBorder="1" applyAlignment="1">
      <alignment horizontal="center"/>
    </xf>
    <xf numFmtId="0" fontId="33" fillId="4" borderId="20" xfId="0" applyFont="1" applyFill="1" applyBorder="1" applyAlignment="1">
      <alignment horizontal="center"/>
    </xf>
    <xf numFmtId="0" fontId="23" fillId="2" borderId="5" xfId="0" applyFont="1" applyFill="1" applyBorder="1" applyAlignment="1">
      <alignment/>
    </xf>
    <xf numFmtId="0" fontId="23" fillId="2" borderId="7" xfId="0" applyFont="1" applyFill="1" applyBorder="1" applyAlignment="1">
      <alignment/>
    </xf>
    <xf numFmtId="0" fontId="23" fillId="2" borderId="6" xfId="0" applyFont="1" applyFill="1" applyBorder="1" applyAlignment="1">
      <alignment/>
    </xf>
    <xf numFmtId="0" fontId="23" fillId="2" borderId="14" xfId="0" applyFont="1" applyFill="1" applyBorder="1" applyAlignment="1">
      <alignment/>
    </xf>
    <xf numFmtId="0" fontId="23" fillId="3" borderId="23" xfId="0" applyFont="1" applyFill="1" applyBorder="1" applyAlignment="1">
      <alignment/>
    </xf>
    <xf numFmtId="178" fontId="34" fillId="2" borderId="16" xfId="0" applyNumberFormat="1" applyFont="1" applyFill="1" applyBorder="1" applyAlignment="1">
      <alignment/>
    </xf>
    <xf numFmtId="0" fontId="37" fillId="3" borderId="24" xfId="0" applyFont="1" applyFill="1" applyBorder="1" applyAlignment="1">
      <alignment/>
    </xf>
    <xf numFmtId="0" fontId="23" fillId="3" borderId="25" xfId="0" applyFont="1" applyFill="1" applyBorder="1" applyAlignment="1">
      <alignment/>
    </xf>
    <xf numFmtId="178" fontId="34" fillId="2" borderId="0" xfId="0" applyNumberFormat="1" applyFont="1" applyFill="1" applyBorder="1" applyAlignment="1">
      <alignment/>
    </xf>
    <xf numFmtId="0" fontId="23" fillId="3" borderId="26" xfId="0" applyFont="1" applyFill="1" applyBorder="1" applyAlignment="1">
      <alignment/>
    </xf>
    <xf numFmtId="0" fontId="23" fillId="2" borderId="20" xfId="0" applyFont="1" applyFill="1" applyBorder="1" applyAlignment="1">
      <alignment/>
    </xf>
    <xf numFmtId="0" fontId="34" fillId="2" borderId="4" xfId="0" applyFont="1" applyFill="1" applyBorder="1" applyAlignment="1">
      <alignment/>
    </xf>
    <xf numFmtId="0" fontId="23" fillId="2" borderId="19" xfId="0" applyFont="1" applyFill="1" applyBorder="1" applyAlignment="1">
      <alignment/>
    </xf>
    <xf numFmtId="0" fontId="37" fillId="3" borderId="26" xfId="0" applyFont="1" applyFill="1" applyBorder="1" applyAlignment="1">
      <alignment/>
    </xf>
    <xf numFmtId="1" fontId="34" fillId="2" borderId="0" xfId="0" applyNumberFormat="1" applyFont="1" applyFill="1" applyBorder="1" applyAlignment="1">
      <alignment/>
    </xf>
    <xf numFmtId="0" fontId="39" fillId="2" borderId="9" xfId="0" applyFont="1" applyFill="1" applyBorder="1" applyAlignment="1">
      <alignment/>
    </xf>
    <xf numFmtId="0" fontId="37" fillId="2" borderId="10" xfId="0" applyFont="1" applyFill="1" applyBorder="1" applyAlignment="1">
      <alignment/>
    </xf>
    <xf numFmtId="11" fontId="34" fillId="2" borderId="0" xfId="0" applyNumberFormat="1" applyFont="1" applyFill="1" applyBorder="1" applyAlignment="1">
      <alignment/>
    </xf>
    <xf numFmtId="0" fontId="39" fillId="2" borderId="5" xfId="0" applyFont="1" applyFill="1" applyBorder="1" applyAlignment="1">
      <alignment/>
    </xf>
    <xf numFmtId="0" fontId="34" fillId="0" borderId="5" xfId="0" applyFont="1" applyFill="1" applyBorder="1" applyAlignment="1">
      <alignment wrapText="1"/>
    </xf>
    <xf numFmtId="0" fontId="39" fillId="2" borderId="6" xfId="0" applyFont="1" applyFill="1" applyBorder="1" applyAlignment="1">
      <alignment/>
    </xf>
    <xf numFmtId="0" fontId="37" fillId="2" borderId="14" xfId="0" applyFont="1" applyFill="1" applyBorder="1" applyAlignment="1">
      <alignment/>
    </xf>
    <xf numFmtId="2" fontId="34" fillId="2" borderId="0" xfId="0" applyNumberFormat="1" applyFont="1" applyFill="1" applyBorder="1" applyAlignment="1">
      <alignment/>
    </xf>
    <xf numFmtId="0" fontId="37" fillId="2" borderId="7" xfId="0" applyFont="1" applyFill="1" applyBorder="1" applyAlignment="1">
      <alignment/>
    </xf>
    <xf numFmtId="0" fontId="23" fillId="3" borderId="8" xfId="0" applyFont="1" applyFill="1" applyBorder="1" applyAlignment="1">
      <alignment/>
    </xf>
    <xf numFmtId="2" fontId="23" fillId="2" borderId="17" xfId="0" applyNumberFormat="1" applyFont="1" applyFill="1" applyBorder="1" applyAlignment="1">
      <alignment/>
    </xf>
    <xf numFmtId="0" fontId="23" fillId="3" borderId="13" xfId="0" applyFont="1" applyFill="1" applyBorder="1" applyAlignment="1">
      <alignment/>
    </xf>
    <xf numFmtId="0" fontId="34" fillId="2" borderId="7" xfId="0" applyFont="1" applyFill="1" applyBorder="1" applyAlignment="1">
      <alignment/>
    </xf>
    <xf numFmtId="0" fontId="23" fillId="2" borderId="5" xfId="0" applyFont="1" applyFill="1" applyBorder="1" applyAlignment="1">
      <alignment/>
    </xf>
    <xf numFmtId="0" fontId="23" fillId="2" borderId="6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2" fillId="0" borderId="0" xfId="0" applyFont="1" applyAlignment="1">
      <alignment/>
    </xf>
    <xf numFmtId="0" fontId="41" fillId="0" borderId="0" xfId="0" applyFont="1" applyBorder="1" applyAlignment="1">
      <alignment vertical="center" wrapText="1"/>
    </xf>
    <xf numFmtId="0" fontId="41" fillId="2" borderId="9" xfId="0" applyFont="1" applyFill="1" applyBorder="1" applyAlignment="1">
      <alignment/>
    </xf>
    <xf numFmtId="0" fontId="42" fillId="2" borderId="3" xfId="0" applyFont="1" applyFill="1" applyBorder="1" applyAlignment="1">
      <alignment/>
    </xf>
    <xf numFmtId="0" fontId="41" fillId="2" borderId="10" xfId="0" applyFont="1" applyFill="1" applyBorder="1" applyAlignment="1">
      <alignment/>
    </xf>
    <xf numFmtId="0" fontId="41" fillId="2" borderId="5" xfId="0" applyFont="1" applyFill="1" applyBorder="1" applyAlignment="1">
      <alignment/>
    </xf>
    <xf numFmtId="0" fontId="42" fillId="2" borderId="1" xfId="0" applyFont="1" applyFill="1" applyBorder="1" applyAlignment="1">
      <alignment/>
    </xf>
    <xf numFmtId="0" fontId="41" fillId="2" borderId="7" xfId="0" applyFont="1" applyFill="1" applyBorder="1" applyAlignment="1">
      <alignment/>
    </xf>
    <xf numFmtId="0" fontId="41" fillId="3" borderId="23" xfId="0" applyFont="1" applyFill="1" applyBorder="1" applyAlignment="1">
      <alignment/>
    </xf>
    <xf numFmtId="2" fontId="42" fillId="2" borderId="16" xfId="0" applyNumberFormat="1" applyFont="1" applyFill="1" applyBorder="1" applyAlignment="1">
      <alignment/>
    </xf>
    <xf numFmtId="0" fontId="44" fillId="3" borderId="24" xfId="0" applyFont="1" applyFill="1" applyBorder="1" applyAlignment="1">
      <alignment/>
    </xf>
    <xf numFmtId="0" fontId="41" fillId="2" borderId="20" xfId="0" applyFont="1" applyFill="1" applyBorder="1" applyAlignment="1">
      <alignment/>
    </xf>
    <xf numFmtId="0" fontId="42" fillId="2" borderId="4" xfId="0" applyFont="1" applyFill="1" applyBorder="1" applyAlignment="1">
      <alignment/>
    </xf>
    <xf numFmtId="0" fontId="41" fillId="2" borderId="19" xfId="0" applyFont="1" applyFill="1" applyBorder="1" applyAlignment="1">
      <alignment/>
    </xf>
    <xf numFmtId="0" fontId="41" fillId="3" borderId="25" xfId="0" applyFont="1" applyFill="1" applyBorder="1" applyAlignment="1">
      <alignment/>
    </xf>
    <xf numFmtId="2" fontId="42" fillId="2" borderId="0" xfId="0" applyNumberFormat="1" applyFont="1" applyFill="1" applyBorder="1" applyAlignment="1">
      <alignment/>
    </xf>
    <xf numFmtId="0" fontId="41" fillId="3" borderId="26" xfId="0" applyFont="1" applyFill="1" applyBorder="1" applyAlignment="1">
      <alignment/>
    </xf>
    <xf numFmtId="0" fontId="44" fillId="3" borderId="26" xfId="0" applyFont="1" applyFill="1" applyBorder="1" applyAlignment="1">
      <alignment/>
    </xf>
    <xf numFmtId="0" fontId="46" fillId="2" borderId="9" xfId="0" applyFont="1" applyFill="1" applyBorder="1" applyAlignment="1">
      <alignment/>
    </xf>
    <xf numFmtId="0" fontId="44" fillId="2" borderId="10" xfId="0" applyFont="1" applyFill="1" applyBorder="1" applyAlignment="1">
      <alignment/>
    </xf>
    <xf numFmtId="0" fontId="46" fillId="2" borderId="5" xfId="0" applyFont="1" applyFill="1" applyBorder="1" applyAlignment="1">
      <alignment/>
    </xf>
    <xf numFmtId="178" fontId="42" fillId="2" borderId="0" xfId="0" applyNumberFormat="1" applyFont="1" applyFill="1" applyBorder="1" applyAlignment="1">
      <alignment/>
    </xf>
    <xf numFmtId="0" fontId="46" fillId="2" borderId="6" xfId="0" applyFont="1" applyFill="1" applyBorder="1" applyAlignment="1">
      <alignment/>
    </xf>
    <xf numFmtId="11" fontId="42" fillId="2" borderId="2" xfId="0" applyNumberFormat="1" applyFont="1" applyFill="1" applyBorder="1" applyAlignment="1">
      <alignment/>
    </xf>
    <xf numFmtId="0" fontId="44" fillId="2" borderId="14" xfId="0" applyFont="1" applyFill="1" applyBorder="1" applyAlignment="1">
      <alignment/>
    </xf>
    <xf numFmtId="1" fontId="42" fillId="2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 wrapText="1"/>
    </xf>
    <xf numFmtId="0" fontId="41" fillId="3" borderId="8" xfId="0" applyFont="1" applyFill="1" applyBorder="1" applyAlignment="1">
      <alignment/>
    </xf>
    <xf numFmtId="177" fontId="42" fillId="2" borderId="27" xfId="0" applyNumberFormat="1" applyFont="1" applyFill="1" applyBorder="1" applyAlignment="1">
      <alignment/>
    </xf>
    <xf numFmtId="0" fontId="41" fillId="3" borderId="13" xfId="0" applyFont="1" applyFill="1" applyBorder="1" applyAlignment="1">
      <alignment/>
    </xf>
    <xf numFmtId="0" fontId="44" fillId="2" borderId="7" xfId="0" applyFont="1" applyFill="1" applyBorder="1" applyAlignment="1">
      <alignment/>
    </xf>
    <xf numFmtId="0" fontId="41" fillId="2" borderId="5" xfId="0" applyFont="1" applyFill="1" applyBorder="1" applyAlignment="1">
      <alignment/>
    </xf>
    <xf numFmtId="0" fontId="41" fillId="2" borderId="6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1" fillId="3" borderId="20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29" fillId="4" borderId="3" xfId="0" applyFont="1" applyFill="1" applyBorder="1" applyAlignment="1">
      <alignment horizontal="center" vertical="center"/>
    </xf>
    <xf numFmtId="0" fontId="29" fillId="4" borderId="2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/>
    </xf>
    <xf numFmtId="0" fontId="18" fillId="4" borderId="19" xfId="0" applyFont="1" applyFill="1" applyBorder="1" applyAlignment="1">
      <alignment horizontal="center"/>
    </xf>
    <xf numFmtId="0" fontId="18" fillId="4" borderId="18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center"/>
    </xf>
    <xf numFmtId="0" fontId="17" fillId="4" borderId="18" xfId="0" applyFont="1" applyFill="1" applyBorder="1" applyAlignment="1">
      <alignment horizontal="center"/>
    </xf>
    <xf numFmtId="0" fontId="17" fillId="4" borderId="19" xfId="0" applyFont="1" applyFill="1" applyBorder="1" applyAlignment="1">
      <alignment horizontal="center"/>
    </xf>
    <xf numFmtId="0" fontId="23" fillId="0" borderId="21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28" xfId="0" applyBorder="1" applyAlignment="1">
      <alignment horizontal="left"/>
    </xf>
    <xf numFmtId="0" fontId="23" fillId="0" borderId="0" xfId="0" applyFont="1" applyBorder="1" applyAlignment="1">
      <alignment horizontal="center" vertical="center" wrapText="1"/>
    </xf>
    <xf numFmtId="0" fontId="23" fillId="3" borderId="20" xfId="0" applyFont="1" applyFill="1" applyBorder="1" applyAlignment="1">
      <alignment horizontal="center"/>
    </xf>
    <xf numFmtId="0" fontId="23" fillId="3" borderId="18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21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17" fillId="4" borderId="9" xfId="0" applyFont="1" applyFill="1" applyBorder="1" applyAlignment="1">
      <alignment horizontal="center"/>
    </xf>
    <xf numFmtId="0" fontId="17" fillId="4" borderId="16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41" fillId="3" borderId="20" xfId="0" applyFont="1" applyFill="1" applyBorder="1" applyAlignment="1">
      <alignment horizontal="center"/>
    </xf>
    <xf numFmtId="0" fontId="41" fillId="3" borderId="18" xfId="0" applyFont="1" applyFill="1" applyBorder="1" applyAlignment="1">
      <alignment horizontal="center"/>
    </xf>
    <xf numFmtId="0" fontId="41" fillId="3" borderId="19" xfId="0" applyFont="1" applyFill="1" applyBorder="1" applyAlignment="1">
      <alignment horizontal="center"/>
    </xf>
    <xf numFmtId="0" fontId="43" fillId="4" borderId="20" xfId="0" applyFont="1" applyFill="1" applyBorder="1" applyAlignment="1">
      <alignment horizontal="center"/>
    </xf>
    <xf numFmtId="0" fontId="43" fillId="4" borderId="18" xfId="0" applyFont="1" applyFill="1" applyBorder="1" applyAlignment="1">
      <alignment horizontal="center"/>
    </xf>
    <xf numFmtId="0" fontId="43" fillId="4" borderId="19" xfId="0" applyFont="1" applyFill="1" applyBorder="1" applyAlignment="1">
      <alignment horizontal="center"/>
    </xf>
    <xf numFmtId="0" fontId="41" fillId="0" borderId="21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1" fontId="34" fillId="2" borderId="9" xfId="0" applyNumberFormat="1" applyFont="1" applyFill="1" applyBorder="1" applyAlignment="1">
      <alignment/>
    </xf>
    <xf numFmtId="176" fontId="40" fillId="2" borderId="5" xfId="0" applyNumberFormat="1" applyFont="1" applyFill="1" applyBorder="1" applyAlignment="1" quotePrefix="1">
      <alignment horizontal="right"/>
    </xf>
    <xf numFmtId="1" fontId="34" fillId="2" borderId="5" xfId="0" applyNumberFormat="1" applyFont="1" applyFill="1" applyBorder="1" applyAlignment="1">
      <alignment/>
    </xf>
    <xf numFmtId="1" fontId="34" fillId="2" borderId="6" xfId="0" applyNumberFormat="1" applyFont="1" applyFill="1" applyBorder="1" applyAlignment="1">
      <alignment/>
    </xf>
    <xf numFmtId="0" fontId="23" fillId="3" borderId="4" xfId="0" applyFont="1" applyFill="1" applyBorder="1" applyAlignment="1">
      <alignment horizontal="center"/>
    </xf>
    <xf numFmtId="0" fontId="23" fillId="2" borderId="5" xfId="0" applyFont="1" applyFill="1" applyBorder="1" applyAlignment="1">
      <alignment/>
    </xf>
    <xf numFmtId="0" fontId="23" fillId="2" borderId="7" xfId="0" applyFont="1" applyFill="1" applyBorder="1" applyAlignment="1">
      <alignment/>
    </xf>
    <xf numFmtId="0" fontId="23" fillId="2" borderId="7" xfId="0" applyFont="1" applyFill="1" applyBorder="1" applyAlignment="1">
      <alignment/>
    </xf>
    <xf numFmtId="0" fontId="34" fillId="2" borderId="3" xfId="0" applyFont="1" applyFill="1" applyBorder="1" applyAlignment="1">
      <alignment/>
    </xf>
    <xf numFmtId="0" fontId="37" fillId="2" borderId="7" xfId="0" applyFont="1" applyFill="1" applyBorder="1" applyAlignment="1">
      <alignment/>
    </xf>
    <xf numFmtId="0" fontId="37" fillId="3" borderId="20" xfId="0" applyFont="1" applyFill="1" applyBorder="1" applyAlignment="1">
      <alignment horizontal="left"/>
    </xf>
    <xf numFmtId="177" fontId="34" fillId="0" borderId="15" xfId="0" applyNumberFormat="1" applyFont="1" applyFill="1" applyBorder="1" applyAlignment="1">
      <alignment/>
    </xf>
    <xf numFmtId="0" fontId="37" fillId="3" borderId="19" xfId="0" applyFont="1" applyFill="1" applyBorder="1" applyAlignment="1">
      <alignment horizontal="left"/>
    </xf>
    <xf numFmtId="0" fontId="23" fillId="3" borderId="5" xfId="0" applyFont="1" applyFill="1" applyBorder="1" applyAlignment="1">
      <alignment horizontal="left"/>
    </xf>
    <xf numFmtId="177" fontId="34" fillId="0" borderId="29" xfId="0" applyNumberFormat="1" applyFont="1" applyFill="1" applyBorder="1" applyAlignment="1">
      <alignment/>
    </xf>
    <xf numFmtId="0" fontId="23" fillId="3" borderId="7" xfId="0" applyFont="1" applyFill="1" applyBorder="1" applyAlignment="1">
      <alignment horizontal="left"/>
    </xf>
    <xf numFmtId="0" fontId="23" fillId="3" borderId="20" xfId="0" applyFont="1" applyFill="1" applyBorder="1" applyAlignment="1">
      <alignment horizontal="left"/>
    </xf>
    <xf numFmtId="0" fontId="23" fillId="3" borderId="19" xfId="0" applyFont="1" applyFill="1" applyBorder="1" applyAlignment="1">
      <alignment horizontal="left"/>
    </xf>
    <xf numFmtId="177" fontId="23" fillId="3" borderId="20" xfId="0" applyNumberFormat="1" applyFont="1" applyFill="1" applyBorder="1" applyAlignment="1">
      <alignment horizontal="left"/>
    </xf>
    <xf numFmtId="0" fontId="34" fillId="0" borderId="15" xfId="0" applyFont="1" applyFill="1" applyBorder="1" applyAlignment="1">
      <alignment/>
    </xf>
    <xf numFmtId="0" fontId="33" fillId="4" borderId="3" xfId="0" applyFont="1" applyFill="1" applyBorder="1" applyAlignment="1">
      <alignment horizontal="center"/>
    </xf>
    <xf numFmtId="0" fontId="33" fillId="4" borderId="3" xfId="0" applyFont="1" applyFill="1" applyBorder="1" applyAlignment="1">
      <alignment horizontal="center"/>
    </xf>
    <xf numFmtId="0" fontId="33" fillId="4" borderId="3" xfId="0" applyFont="1" applyFill="1" applyBorder="1" applyAlignment="1">
      <alignment horizontal="center" wrapText="1"/>
    </xf>
    <xf numFmtId="0" fontId="35" fillId="4" borderId="3" xfId="0" applyFont="1" applyFill="1" applyBorder="1" applyAlignment="1">
      <alignment horizontal="center"/>
    </xf>
    <xf numFmtId="0" fontId="48" fillId="4" borderId="3" xfId="0" applyFont="1" applyFill="1" applyBorder="1" applyAlignment="1">
      <alignment/>
    </xf>
    <xf numFmtId="0" fontId="33" fillId="4" borderId="2" xfId="0" applyFont="1" applyFill="1" applyBorder="1" applyAlignment="1">
      <alignment horizontal="center"/>
    </xf>
    <xf numFmtId="0" fontId="35" fillId="4" borderId="2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 wrapText="1"/>
    </xf>
    <xf numFmtId="177" fontId="34" fillId="0" borderId="0" xfId="0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 horizontal="right"/>
    </xf>
    <xf numFmtId="177" fontId="40" fillId="0" borderId="0" xfId="0" applyNumberFormat="1" applyFont="1" applyFill="1" applyBorder="1" applyAlignment="1">
      <alignment horizontal="right"/>
    </xf>
    <xf numFmtId="177" fontId="34" fillId="0" borderId="0" xfId="0" applyNumberFormat="1" applyFont="1" applyAlignment="1">
      <alignment horizontal="right"/>
    </xf>
    <xf numFmtId="0" fontId="34" fillId="0" borderId="0" xfId="0" applyFont="1" applyAlignment="1">
      <alignment horizontal="right"/>
    </xf>
    <xf numFmtId="0" fontId="34" fillId="0" borderId="0" xfId="0" applyFont="1" applyFill="1" applyBorder="1" applyAlignment="1">
      <alignment horizontal="right" wrapText="1"/>
    </xf>
    <xf numFmtId="1" fontId="34" fillId="0" borderId="0" xfId="0" applyNumberFormat="1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4">
    <dxf>
      <font>
        <b/>
        <i val="0"/>
        <color rgb="FFFF0000"/>
      </font>
      <fill>
        <patternFill>
          <bgColor rgb="FFFFFFCC"/>
        </patternFill>
      </fill>
      <border/>
    </dxf>
    <dxf>
      <font>
        <b/>
        <i val="0"/>
        <color rgb="FFFF0000"/>
      </font>
      <border/>
    </dxf>
    <dxf>
      <font>
        <b/>
        <i val="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Factor de fricción vs. Número de Iteraciones</a:t>
            </a:r>
          </a:p>
        </c:rich>
      </c:tx>
      <c:layout>
        <c:manualLayout>
          <c:xMode val="factor"/>
          <c:yMode val="factor"/>
          <c:x val="0.06925"/>
          <c:y val="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6275"/>
          <c:w val="0.90825"/>
          <c:h val="0.71525"/>
        </c:manualLayout>
      </c:layout>
      <c:scatterChart>
        <c:scatterStyle val="lineMarker"/>
        <c:varyColors val="0"/>
        <c:ser>
          <c:idx val="14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 - NEWTON'!$G$15:$G$29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'f - NEWTON'!$E$15:$E$29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57749969"/>
        <c:axId val="49987674"/>
      </c:scatterChart>
      <c:valAx>
        <c:axId val="57749969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Número de Iteraciones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87674"/>
        <c:crosses val="autoZero"/>
        <c:crossBetween val="midCat"/>
        <c:dispUnits/>
      </c:valAx>
      <c:valAx>
        <c:axId val="49987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Valor de 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7499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5.emf" /><Relationship Id="rId3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3</xdr:row>
      <xdr:rowOff>47625</xdr:rowOff>
    </xdr:from>
    <xdr:to>
      <xdr:col>6</xdr:col>
      <xdr:colOff>514350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657225"/>
          <a:ext cx="962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9</xdr:row>
      <xdr:rowOff>0</xdr:rowOff>
    </xdr:from>
    <xdr:to>
      <xdr:col>15</xdr:col>
      <xdr:colOff>723900</xdr:colOff>
      <xdr:row>24</xdr:row>
      <xdr:rowOff>28575</xdr:rowOff>
    </xdr:to>
    <xdr:graphicFrame>
      <xdr:nvGraphicFramePr>
        <xdr:cNvPr id="1" name="Chart 38"/>
        <xdr:cNvGraphicFramePr/>
      </xdr:nvGraphicFramePr>
      <xdr:xfrm>
        <a:off x="5686425" y="1866900"/>
        <a:ext cx="55816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13</xdr:row>
      <xdr:rowOff>28575</xdr:rowOff>
    </xdr:from>
    <xdr:to>
      <xdr:col>16</xdr:col>
      <xdr:colOff>847725</xdr:colOff>
      <xdr:row>14</xdr:row>
      <xdr:rowOff>66675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3038475"/>
          <a:ext cx="828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24</xdr:row>
      <xdr:rowOff>28575</xdr:rowOff>
    </xdr:from>
    <xdr:to>
      <xdr:col>12</xdr:col>
      <xdr:colOff>857250</xdr:colOff>
      <xdr:row>25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4743450"/>
          <a:ext cx="838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</xdr:row>
      <xdr:rowOff>123825</xdr:rowOff>
    </xdr:from>
    <xdr:to>
      <xdr:col>23</xdr:col>
      <xdr:colOff>38100</xdr:colOff>
      <xdr:row>46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44450" y="504825"/>
          <a:ext cx="6067425" cy="836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</xdr:row>
      <xdr:rowOff>0</xdr:rowOff>
    </xdr:from>
    <xdr:to>
      <xdr:col>30</xdr:col>
      <xdr:colOff>390525</xdr:colOff>
      <xdr:row>35</xdr:row>
      <xdr:rowOff>133350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773775" y="381000"/>
          <a:ext cx="5724525" cy="6715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4.8515625" style="1" customWidth="1"/>
    <col min="2" max="2" width="11.57421875" style="1" bestFit="1" customWidth="1"/>
    <col min="3" max="3" width="16.28125" style="1" bestFit="1" customWidth="1"/>
    <col min="4" max="4" width="12.57421875" style="1" bestFit="1" customWidth="1"/>
    <col min="5" max="5" width="12.421875" style="1" bestFit="1" customWidth="1"/>
    <col min="6" max="7" width="11.57421875" style="1" bestFit="1" customWidth="1"/>
    <col min="8" max="8" width="11.140625" style="1" customWidth="1"/>
    <col min="9" max="16384" width="11.421875" style="1" customWidth="1"/>
  </cols>
  <sheetData>
    <row r="1" spans="4:9" ht="16.5" customHeight="1">
      <c r="D1" s="150" t="s">
        <v>74</v>
      </c>
      <c r="E1" s="150"/>
      <c r="F1" s="150"/>
      <c r="G1" s="150"/>
      <c r="H1" s="150"/>
      <c r="I1" s="150"/>
    </row>
    <row r="2" spans="1:9" ht="13.5" thickBot="1">
      <c r="A2" s="125"/>
      <c r="B2" s="125"/>
      <c r="C2" s="125"/>
      <c r="D2" s="125"/>
      <c r="E2" s="125"/>
      <c r="F2" s="125"/>
      <c r="G2" s="125"/>
      <c r="H2" s="125"/>
      <c r="I2" s="125"/>
    </row>
    <row r="3" spans="1:16" ht="18" customHeight="1" thickBot="1">
      <c r="A3" s="125"/>
      <c r="B3" s="276" t="s">
        <v>0</v>
      </c>
      <c r="C3" s="278"/>
      <c r="D3" s="277"/>
      <c r="E3" s="126"/>
      <c r="F3" s="276" t="s">
        <v>22</v>
      </c>
      <c r="G3" s="277"/>
      <c r="I3" s="72" t="s">
        <v>3</v>
      </c>
      <c r="J3" s="73" t="s">
        <v>10</v>
      </c>
      <c r="K3" s="138" t="s">
        <v>84</v>
      </c>
      <c r="L3" s="73" t="s">
        <v>11</v>
      </c>
      <c r="M3" s="72" t="s">
        <v>37</v>
      </c>
      <c r="N3" s="138" t="s">
        <v>85</v>
      </c>
      <c r="O3" s="274" t="s">
        <v>21</v>
      </c>
      <c r="P3" s="74" t="s">
        <v>25</v>
      </c>
    </row>
    <row r="4" spans="1:16" ht="18" customHeight="1" thickBot="1">
      <c r="A4" s="126"/>
      <c r="B4" s="271" t="s">
        <v>12</v>
      </c>
      <c r="C4" s="272"/>
      <c r="D4" s="273"/>
      <c r="E4" s="125"/>
      <c r="F4" s="127"/>
      <c r="G4" s="128"/>
      <c r="I4" s="75" t="s">
        <v>15</v>
      </c>
      <c r="J4" s="76" t="s">
        <v>48</v>
      </c>
      <c r="K4" s="75" t="s">
        <v>15</v>
      </c>
      <c r="L4" s="76" t="s">
        <v>16</v>
      </c>
      <c r="M4" s="75" t="s">
        <v>15</v>
      </c>
      <c r="N4" s="75" t="s">
        <v>15</v>
      </c>
      <c r="O4" s="275"/>
      <c r="P4" s="139" t="s">
        <v>86</v>
      </c>
    </row>
    <row r="5" spans="1:16" ht="18" customHeight="1" thickBot="1">
      <c r="A5" s="125"/>
      <c r="B5" s="21" t="s">
        <v>26</v>
      </c>
      <c r="C5" s="96">
        <v>0.3</v>
      </c>
      <c r="D5" s="29" t="s">
        <v>7</v>
      </c>
      <c r="E5" s="125"/>
      <c r="F5" s="130"/>
      <c r="G5" s="131"/>
      <c r="I5" s="142">
        <f>Cab</f>
        <v>43.5</v>
      </c>
      <c r="J5" s="143">
        <f>Ks/Dia</f>
        <v>5E-06</v>
      </c>
      <c r="K5" s="144">
        <f>C11</f>
        <v>43.5</v>
      </c>
      <c r="L5" s="144">
        <f>(-2*SQRT(2*Gra*Dia*K5/Lon))*LOG((Ks/(3.7*Dia))+((2.51*Vcin*SQRT(Lon/(2*Gra*Dia*K5)))/Dia))</f>
        <v>5.694418661801957</v>
      </c>
      <c r="M5" s="144">
        <f>Km*L5*L5/(2*Gra)</f>
        <v>19.502118551037974</v>
      </c>
      <c r="N5" s="144">
        <f>+$C$11-$C$12-M5</f>
        <v>23.997881448962026</v>
      </c>
      <c r="O5" s="145">
        <f>IF((ABS(N5-K5))&lt;=$C$18,1,0)</f>
        <v>0</v>
      </c>
      <c r="P5" s="146">
        <f aca="true" t="shared" si="0" ref="P5:P19">IF(O5="","",IF(O5=0,"",L5*PI()*$C$5*$C$5/4))</f>
      </c>
    </row>
    <row r="6" spans="1:16" ht="18" customHeight="1">
      <c r="A6" s="125"/>
      <c r="B6" s="22" t="s">
        <v>2</v>
      </c>
      <c r="C6" s="140">
        <v>730</v>
      </c>
      <c r="D6" s="29" t="s">
        <v>7</v>
      </c>
      <c r="E6" s="125"/>
      <c r="F6" s="34">
        <v>0</v>
      </c>
      <c r="G6" s="35" t="s">
        <v>23</v>
      </c>
      <c r="I6" s="142">
        <f aca="true" t="shared" si="1" ref="I6:I19">IF(O5="","",IF(O5=1,"",I5))</f>
        <v>43.5</v>
      </c>
      <c r="J6" s="147">
        <f aca="true" t="shared" si="2" ref="J6:J19">IF(O5="","",IF(O5=1,"",J5))</f>
        <v>5E-06</v>
      </c>
      <c r="K6" s="148">
        <f aca="true" t="shared" si="3" ref="K6:K19">IF(O5="","",IF(O5=1,"",N5))</f>
        <v>23.997881448962026</v>
      </c>
      <c r="L6" s="148">
        <f aca="true" t="shared" si="4" ref="L6:L19">IF(O5="","",IF(O5=1,"",((-2*SQRT(2*$C$19*$C$5*K6))/(SQRT($C$6)))*(LOG(($C$7/(3.7*$C$5))+((2.51*$C$15*SQRT($C$6))/($C$5*SQRT(2*$C$19*$C$5*K6)))))))</f>
        <v>4.124517547435481</v>
      </c>
      <c r="M6" s="148">
        <f aca="true" t="shared" si="5" ref="M6:M19">IF(O5="","",(IF(O5=1,"",$C$9*L6*L6/(2*$C$19))))</f>
        <v>10.23126457642292</v>
      </c>
      <c r="N6" s="148">
        <f aca="true" t="shared" si="6" ref="N6:N19">IF(O5="","",IF(O5=1,"",$C$11-$C$12-M6))</f>
        <v>33.268735423577084</v>
      </c>
      <c r="O6" s="149">
        <f aca="true" t="shared" si="7" ref="O6:O19">IF(K6="","",IF((ABS(N6-K6))&lt;=$C$18,1,0))</f>
        <v>0</v>
      </c>
      <c r="P6" s="146">
        <f t="shared" si="0"/>
      </c>
    </row>
    <row r="7" spans="1:16" ht="18" customHeight="1" thickBot="1">
      <c r="A7" s="125"/>
      <c r="B7" s="23" t="s">
        <v>1</v>
      </c>
      <c r="C7" s="97">
        <v>1.5E-06</v>
      </c>
      <c r="D7" s="29" t="s">
        <v>7</v>
      </c>
      <c r="E7" s="125"/>
      <c r="F7" s="31">
        <v>1</v>
      </c>
      <c r="G7" s="36" t="s">
        <v>24</v>
      </c>
      <c r="I7" s="142">
        <f t="shared" si="1"/>
        <v>43.5</v>
      </c>
      <c r="J7" s="147">
        <f t="shared" si="2"/>
        <v>5E-06</v>
      </c>
      <c r="K7" s="148">
        <f t="shared" si="3"/>
        <v>33.268735423577084</v>
      </c>
      <c r="L7" s="148">
        <f t="shared" si="4"/>
        <v>4.924536697170323</v>
      </c>
      <c r="M7" s="148">
        <f t="shared" si="5"/>
        <v>14.585246067531646</v>
      </c>
      <c r="N7" s="148">
        <f t="shared" si="6"/>
        <v>28.914753932468354</v>
      </c>
      <c r="O7" s="149">
        <f t="shared" si="7"/>
        <v>0</v>
      </c>
      <c r="P7" s="146">
        <f t="shared" si="0"/>
      </c>
    </row>
    <row r="8" spans="1:16" ht="18" customHeight="1" thickBot="1">
      <c r="A8" s="125"/>
      <c r="B8" s="271" t="s">
        <v>13</v>
      </c>
      <c r="C8" s="272"/>
      <c r="D8" s="273"/>
      <c r="E8" s="125"/>
      <c r="F8" s="125"/>
      <c r="G8" s="125"/>
      <c r="I8" s="142">
        <f t="shared" si="1"/>
        <v>43.5</v>
      </c>
      <c r="J8" s="147">
        <f t="shared" si="2"/>
        <v>5E-06</v>
      </c>
      <c r="K8" s="148">
        <f t="shared" si="3"/>
        <v>28.914753932468354</v>
      </c>
      <c r="L8" s="148">
        <f t="shared" si="4"/>
        <v>4.563768071837695</v>
      </c>
      <c r="M8" s="148">
        <f t="shared" si="5"/>
        <v>12.526511333312785</v>
      </c>
      <c r="N8" s="148">
        <f t="shared" si="6"/>
        <v>30.973488666687217</v>
      </c>
      <c r="O8" s="149">
        <f t="shared" si="7"/>
        <v>0</v>
      </c>
      <c r="P8" s="146">
        <f t="shared" si="0"/>
      </c>
    </row>
    <row r="9" spans="1:16" ht="18" customHeight="1" thickBot="1">
      <c r="A9" s="125"/>
      <c r="B9" s="24" t="s">
        <v>4</v>
      </c>
      <c r="C9" s="141">
        <v>11.8</v>
      </c>
      <c r="D9" s="29"/>
      <c r="E9" s="125"/>
      <c r="F9" s="125"/>
      <c r="G9" s="125"/>
      <c r="I9" s="142">
        <f t="shared" si="1"/>
        <v>43.5</v>
      </c>
      <c r="J9" s="147">
        <f t="shared" si="2"/>
        <v>5E-06</v>
      </c>
      <c r="K9" s="148">
        <f t="shared" si="3"/>
        <v>30.973488666687217</v>
      </c>
      <c r="L9" s="148">
        <f t="shared" si="4"/>
        <v>4.737282242669492</v>
      </c>
      <c r="M9" s="148">
        <f t="shared" si="5"/>
        <v>13.497132923098777</v>
      </c>
      <c r="N9" s="148">
        <f t="shared" si="6"/>
        <v>30.002867076901225</v>
      </c>
      <c r="O9" s="149">
        <f t="shared" si="7"/>
        <v>0</v>
      </c>
      <c r="P9" s="146">
        <f t="shared" si="0"/>
      </c>
    </row>
    <row r="10" spans="1:16" ht="18" customHeight="1" thickBot="1">
      <c r="A10" s="125"/>
      <c r="B10" s="271" t="s">
        <v>14</v>
      </c>
      <c r="C10" s="272"/>
      <c r="D10" s="273"/>
      <c r="E10" s="125"/>
      <c r="F10" s="125"/>
      <c r="G10" s="125"/>
      <c r="I10" s="142">
        <f t="shared" si="1"/>
        <v>43.5</v>
      </c>
      <c r="J10" s="147">
        <f t="shared" si="2"/>
        <v>5E-06</v>
      </c>
      <c r="K10" s="148">
        <f t="shared" si="3"/>
        <v>30.002867076901225</v>
      </c>
      <c r="L10" s="148">
        <f t="shared" si="4"/>
        <v>4.656165030427601</v>
      </c>
      <c r="M10" s="148">
        <f t="shared" si="5"/>
        <v>13.0388633500921</v>
      </c>
      <c r="N10" s="148">
        <f t="shared" si="6"/>
        <v>30.4611366499079</v>
      </c>
      <c r="O10" s="149">
        <f t="shared" si="7"/>
        <v>0</v>
      </c>
      <c r="P10" s="146">
        <f t="shared" si="0"/>
      </c>
    </row>
    <row r="11" spans="1:16" ht="18" customHeight="1" thickBot="1">
      <c r="A11" s="125"/>
      <c r="B11" s="25" t="s">
        <v>3</v>
      </c>
      <c r="C11" s="96">
        <v>43.5</v>
      </c>
      <c r="D11" s="29" t="s">
        <v>7</v>
      </c>
      <c r="E11" s="125"/>
      <c r="F11" s="125"/>
      <c r="G11" s="125"/>
      <c r="I11" s="142">
        <f t="shared" si="1"/>
        <v>43.5</v>
      </c>
      <c r="J11" s="147">
        <f t="shared" si="2"/>
        <v>5E-06</v>
      </c>
      <c r="K11" s="148">
        <f t="shared" si="3"/>
        <v>30.4611366499079</v>
      </c>
      <c r="L11" s="148">
        <f t="shared" si="4"/>
        <v>4.69461304070906</v>
      </c>
      <c r="M11" s="148">
        <f t="shared" si="5"/>
        <v>13.255087711699675</v>
      </c>
      <c r="N11" s="148">
        <f t="shared" si="6"/>
        <v>30.244912288300327</v>
      </c>
      <c r="O11" s="149">
        <f t="shared" si="7"/>
        <v>0</v>
      </c>
      <c r="P11" s="146">
        <f t="shared" si="0"/>
      </c>
    </row>
    <row r="12" spans="1:16" ht="18" customHeight="1" thickBot="1">
      <c r="A12" s="125"/>
      <c r="B12" s="23" t="s">
        <v>8</v>
      </c>
      <c r="C12" s="97">
        <v>0</v>
      </c>
      <c r="D12" s="29" t="s">
        <v>7</v>
      </c>
      <c r="E12" s="125"/>
      <c r="F12" s="276" t="s">
        <v>49</v>
      </c>
      <c r="G12" s="277"/>
      <c r="I12" s="142">
        <f t="shared" si="1"/>
        <v>43.5</v>
      </c>
      <c r="J12" s="147">
        <f t="shared" si="2"/>
        <v>5E-06</v>
      </c>
      <c r="K12" s="148">
        <f t="shared" si="3"/>
        <v>30.244912288300327</v>
      </c>
      <c r="L12" s="148">
        <f t="shared" si="4"/>
        <v>4.676505865400976</v>
      </c>
      <c r="M12" s="148">
        <f t="shared" si="5"/>
        <v>13.153034856663144</v>
      </c>
      <c r="N12" s="148">
        <f t="shared" si="6"/>
        <v>30.346965143336856</v>
      </c>
      <c r="O12" s="149">
        <f t="shared" si="7"/>
        <v>0</v>
      </c>
      <c r="P12" s="146">
        <f t="shared" si="0"/>
      </c>
    </row>
    <row r="13" spans="1:16" ht="18" customHeight="1" thickBot="1">
      <c r="A13" s="126"/>
      <c r="B13" s="271" t="s">
        <v>5</v>
      </c>
      <c r="C13" s="272"/>
      <c r="D13" s="273"/>
      <c r="E13" s="125"/>
      <c r="F13" s="71" t="s">
        <v>50</v>
      </c>
      <c r="G13" s="133">
        <v>0.331</v>
      </c>
      <c r="I13" s="142">
        <f t="shared" si="1"/>
        <v>43.5</v>
      </c>
      <c r="J13" s="147">
        <f t="shared" si="2"/>
        <v>5E-06</v>
      </c>
      <c r="K13" s="148">
        <f t="shared" si="3"/>
        <v>30.346965143336856</v>
      </c>
      <c r="L13" s="148">
        <f t="shared" si="4"/>
        <v>4.685059483952166</v>
      </c>
      <c r="M13" s="148">
        <f t="shared" si="5"/>
        <v>13.201194288705791</v>
      </c>
      <c r="N13" s="148">
        <f t="shared" si="6"/>
        <v>30.298805711294207</v>
      </c>
      <c r="O13" s="149">
        <f t="shared" si="7"/>
        <v>0</v>
      </c>
      <c r="P13" s="146">
        <f t="shared" si="0"/>
      </c>
    </row>
    <row r="14" spans="1:16" ht="18" customHeight="1" thickBot="1">
      <c r="A14" s="134"/>
      <c r="B14" s="26" t="s">
        <v>6</v>
      </c>
      <c r="C14" s="96">
        <v>998.2</v>
      </c>
      <c r="D14" s="135" t="s">
        <v>81</v>
      </c>
      <c r="E14" s="136"/>
      <c r="F14" s="71" t="s">
        <v>53</v>
      </c>
      <c r="G14" s="133">
        <v>0.4682</v>
      </c>
      <c r="I14" s="142">
        <f t="shared" si="1"/>
        <v>43.5</v>
      </c>
      <c r="J14" s="147">
        <f t="shared" si="2"/>
        <v>5E-06</v>
      </c>
      <c r="K14" s="148">
        <f t="shared" si="3"/>
        <v>30.298805711294207</v>
      </c>
      <c r="L14" s="148">
        <f t="shared" si="4"/>
        <v>4.681024638338462</v>
      </c>
      <c r="M14" s="148">
        <f t="shared" si="5"/>
        <v>13.17846593495588</v>
      </c>
      <c r="N14" s="148">
        <f t="shared" si="6"/>
        <v>30.32153406504412</v>
      </c>
      <c r="O14" s="149">
        <f t="shared" si="7"/>
        <v>0</v>
      </c>
      <c r="P14" s="146">
        <f t="shared" si="0"/>
      </c>
    </row>
    <row r="15" spans="1:16" ht="18" customHeight="1" thickBot="1">
      <c r="A15" s="134"/>
      <c r="B15" s="26" t="s">
        <v>19</v>
      </c>
      <c r="C15" s="140">
        <f>Vdin/Den</f>
        <v>1.006812262071729E-06</v>
      </c>
      <c r="D15" s="135" t="s">
        <v>82</v>
      </c>
      <c r="E15" s="136"/>
      <c r="F15" s="71" t="s">
        <v>51</v>
      </c>
      <c r="G15" s="133">
        <v>30.314</v>
      </c>
      <c r="I15" s="142">
        <f t="shared" si="1"/>
        <v>43.5</v>
      </c>
      <c r="J15" s="147">
        <f t="shared" si="2"/>
        <v>5E-06</v>
      </c>
      <c r="K15" s="148">
        <f t="shared" si="3"/>
        <v>30.32153406504412</v>
      </c>
      <c r="L15" s="148">
        <f t="shared" si="4"/>
        <v>4.682929212946988</v>
      </c>
      <c r="M15" s="148">
        <f t="shared" si="5"/>
        <v>13.189191995870187</v>
      </c>
      <c r="N15" s="148">
        <f t="shared" si="6"/>
        <v>30.31080800412981</v>
      </c>
      <c r="O15" s="149">
        <f t="shared" si="7"/>
        <v>0</v>
      </c>
      <c r="P15" s="146">
        <f t="shared" si="0"/>
      </c>
    </row>
    <row r="16" spans="1:16" ht="18" customHeight="1" thickBot="1">
      <c r="A16" s="134"/>
      <c r="B16" s="26" t="s">
        <v>7</v>
      </c>
      <c r="C16" s="97">
        <f>1.005*10^-3</f>
        <v>0.0010049999999999998</v>
      </c>
      <c r="D16" s="29" t="s">
        <v>20</v>
      </c>
      <c r="E16" s="125"/>
      <c r="F16" s="71" t="s">
        <v>52</v>
      </c>
      <c r="G16" s="133">
        <v>13.186</v>
      </c>
      <c r="I16" s="142">
        <f t="shared" si="1"/>
        <v>43.5</v>
      </c>
      <c r="J16" s="147">
        <f t="shared" si="2"/>
        <v>5E-06</v>
      </c>
      <c r="K16" s="148">
        <f t="shared" si="3"/>
        <v>30.31080800412981</v>
      </c>
      <c r="L16" s="148">
        <f t="shared" si="4"/>
        <v>4.682030480556627</v>
      </c>
      <c r="M16" s="148">
        <f t="shared" si="5"/>
        <v>13.184130028856451</v>
      </c>
      <c r="N16" s="148">
        <f t="shared" si="6"/>
        <v>30.31586997114355</v>
      </c>
      <c r="O16" s="149">
        <f t="shared" si="7"/>
        <v>0</v>
      </c>
      <c r="P16" s="146">
        <f t="shared" si="0"/>
      </c>
    </row>
    <row r="17" spans="1:16" ht="18" customHeight="1" thickBot="1">
      <c r="A17" s="134"/>
      <c r="B17" s="271" t="s">
        <v>17</v>
      </c>
      <c r="C17" s="272"/>
      <c r="D17" s="273"/>
      <c r="E17" s="125"/>
      <c r="F17" s="125"/>
      <c r="G17" s="125"/>
      <c r="H17" s="125"/>
      <c r="I17" s="142">
        <f t="shared" si="1"/>
        <v>43.5</v>
      </c>
      <c r="J17" s="147">
        <f t="shared" si="2"/>
        <v>5E-06</v>
      </c>
      <c r="K17" s="148">
        <f t="shared" si="3"/>
        <v>30.31586997114355</v>
      </c>
      <c r="L17" s="148">
        <f t="shared" si="4"/>
        <v>4.682454639138802</v>
      </c>
      <c r="M17" s="148">
        <f t="shared" si="5"/>
        <v>13.186518913434833</v>
      </c>
      <c r="N17" s="148">
        <f t="shared" si="6"/>
        <v>30.31348108656517</v>
      </c>
      <c r="O17" s="149">
        <f t="shared" si="7"/>
        <v>0</v>
      </c>
      <c r="P17" s="146">
        <f t="shared" si="0"/>
      </c>
    </row>
    <row r="18" spans="1:16" ht="18" customHeight="1">
      <c r="A18" s="125"/>
      <c r="B18" s="27" t="s">
        <v>9</v>
      </c>
      <c r="C18" s="129">
        <v>0.001</v>
      </c>
      <c r="D18" s="25"/>
      <c r="E18" s="125"/>
      <c r="F18" s="125"/>
      <c r="G18" s="125"/>
      <c r="H18" s="125"/>
      <c r="I18" s="142">
        <f t="shared" si="1"/>
        <v>43.5</v>
      </c>
      <c r="J18" s="147">
        <f t="shared" si="2"/>
        <v>5E-06</v>
      </c>
      <c r="K18" s="148">
        <f t="shared" si="3"/>
        <v>30.31348108656517</v>
      </c>
      <c r="L18" s="148">
        <f t="shared" si="4"/>
        <v>4.682254470869025</v>
      </c>
      <c r="M18" s="148">
        <f t="shared" si="5"/>
        <v>13.185391527710555</v>
      </c>
      <c r="N18" s="148">
        <f t="shared" si="6"/>
        <v>30.314608472289443</v>
      </c>
      <c r="O18" s="149">
        <f t="shared" si="7"/>
        <v>0</v>
      </c>
      <c r="P18" s="146">
        <f t="shared" si="0"/>
      </c>
    </row>
    <row r="19" spans="1:16" ht="18" customHeight="1" thickBot="1">
      <c r="A19" s="125"/>
      <c r="B19" s="28" t="s">
        <v>18</v>
      </c>
      <c r="C19" s="132">
        <v>9.81</v>
      </c>
      <c r="D19" s="137" t="s">
        <v>83</v>
      </c>
      <c r="E19" s="136"/>
      <c r="F19" s="136"/>
      <c r="G19" s="136"/>
      <c r="H19" s="136"/>
      <c r="I19" s="142">
        <f t="shared" si="1"/>
        <v>43.5</v>
      </c>
      <c r="J19" s="147">
        <f t="shared" si="2"/>
        <v>5E-06</v>
      </c>
      <c r="K19" s="148">
        <f t="shared" si="3"/>
        <v>30.314608472289443</v>
      </c>
      <c r="L19" s="148">
        <f t="shared" si="4"/>
        <v>4.682348937143865</v>
      </c>
      <c r="M19" s="148">
        <f t="shared" si="5"/>
        <v>13.185923573712179</v>
      </c>
      <c r="N19" s="148">
        <f t="shared" si="6"/>
        <v>30.31407642628782</v>
      </c>
      <c r="O19" s="149">
        <f t="shared" si="7"/>
        <v>1</v>
      </c>
      <c r="P19" s="146">
        <f t="shared" si="0"/>
        <v>0.3309757430056907</v>
      </c>
    </row>
    <row r="20" spans="1:9" ht="12.75">
      <c r="A20" s="136"/>
      <c r="B20" s="136"/>
      <c r="C20" s="136"/>
      <c r="D20" s="136"/>
      <c r="E20" s="136"/>
      <c r="F20" s="136"/>
      <c r="G20" s="136"/>
      <c r="H20" s="136"/>
      <c r="I20" s="136"/>
    </row>
    <row r="21" ht="12.75">
      <c r="A21" s="136"/>
    </row>
    <row r="22" ht="12.75">
      <c r="A22" s="126"/>
    </row>
    <row r="23" ht="12.75">
      <c r="A23" s="20">
        <f aca="true" t="shared" si="8" ref="A23:A37">IF(P5&gt;0,P5,"")</f>
      </c>
    </row>
    <row r="24" ht="12.75">
      <c r="A24" s="20">
        <f t="shared" si="8"/>
      </c>
    </row>
    <row r="25" ht="12.75">
      <c r="A25" s="20">
        <f t="shared" si="8"/>
      </c>
    </row>
    <row r="26" spans="1:13" ht="12.75">
      <c r="A26" s="20">
        <f t="shared" si="8"/>
      </c>
      <c r="L26" s="2"/>
      <c r="M26" s="2"/>
    </row>
    <row r="27" spans="1:13" ht="12.75">
      <c r="A27" s="20">
        <f t="shared" si="8"/>
      </c>
      <c r="L27" s="153"/>
      <c r="M27" s="2"/>
    </row>
    <row r="28" spans="1:13" ht="12.75">
      <c r="A28" s="20">
        <f t="shared" si="8"/>
      </c>
      <c r="L28" s="153"/>
      <c r="M28" s="2"/>
    </row>
    <row r="29" spans="1:13" ht="12.75">
      <c r="A29" s="20">
        <f t="shared" si="8"/>
      </c>
      <c r="L29" s="153"/>
      <c r="M29" s="2"/>
    </row>
    <row r="30" spans="1:13" ht="12.75">
      <c r="A30" s="20">
        <f t="shared" si="8"/>
      </c>
      <c r="L30" s="153"/>
      <c r="M30" s="2"/>
    </row>
    <row r="31" spans="1:13" ht="12.75">
      <c r="A31" s="20">
        <f t="shared" si="8"/>
      </c>
      <c r="L31" s="2"/>
      <c r="M31" s="2"/>
    </row>
    <row r="32" spans="1:13" ht="12.75">
      <c r="A32" s="20">
        <f t="shared" si="8"/>
      </c>
      <c r="L32" s="2"/>
      <c r="M32" s="2"/>
    </row>
    <row r="33" ht="12.75">
      <c r="A33" s="20">
        <f t="shared" si="8"/>
      </c>
    </row>
    <row r="34" ht="12.75">
      <c r="A34" s="20">
        <f t="shared" si="8"/>
      </c>
    </row>
    <row r="35" ht="12.75">
      <c r="A35" s="20">
        <f t="shared" si="8"/>
      </c>
    </row>
    <row r="36" ht="12.75">
      <c r="A36" s="20">
        <f t="shared" si="8"/>
      </c>
    </row>
    <row r="37" ht="12.75">
      <c r="A37" s="20">
        <f t="shared" si="8"/>
        <v>0.3309757430056907</v>
      </c>
    </row>
    <row r="38" spans="1:9" ht="12.75">
      <c r="A38" s="20">
        <f>IF(H38&gt;0,H38,"")</f>
      </c>
      <c r="B38" s="17">
        <f>IF(O19="","",IF(O19=1,"",I19))</f>
      </c>
      <c r="C38" s="16">
        <f>IF(O19="","",IF(O19=1,"",J19))</f>
      </c>
      <c r="D38" s="19">
        <f>IF(O19="","",IF(O19=1,"",N19))</f>
      </c>
      <c r="E38" s="19">
        <f>IF(O19="","",IF(O19=1,"",((-2*SQRT(2*$C$19*$C$5*D38))/(SQRT($C$6)))*(LOG(($C$7/(3.7*$C$5))+((2.51*$C$15*SQRT($C$6))/($C$5*SQRT(2*$C$19*$C$5*D38)))))))</f>
      </c>
      <c r="F38" s="19">
        <f>IF(O19="","",(IF(O19=1,"",$C$9*E38*E38/(2*$C$19))))</f>
      </c>
      <c r="G38" s="19">
        <f>IF(O19="","",IF(O19=1,"",$C$11-$C$12-F38))</f>
      </c>
      <c r="H38" s="14">
        <f aca="true" t="shared" si="9" ref="H38:H75">IF(D38="","",IF((ABS(G38-D38))&lt;=$C$18,1,0))</f>
      </c>
      <c r="I38" s="18">
        <f aca="true" t="shared" si="10" ref="I38:I75">IF(H38="","",IF(H38=0,"",E38*PI()*$C$5*$C$5/4))</f>
      </c>
    </row>
    <row r="39" spans="1:9" ht="12.75">
      <c r="A39" s="20">
        <f>IF(H39&gt;0,H39,"")</f>
      </c>
      <c r="B39" s="17">
        <f>IF(H38="","",IF(H38=1,"",B38))</f>
      </c>
      <c r="C39" s="16">
        <f>IF(H38="","",IF(H38=1,"",C38))</f>
      </c>
      <c r="D39" s="19">
        <f>IF(H38="","",IF(H38=1,"",G38))</f>
      </c>
      <c r="E39" s="19">
        <f aca="true" t="shared" si="11" ref="E39:E75">IF(H38="","",IF(H38=1,"",((-2*SQRT(2*$C$19*$C$5*D39))/(SQRT($C$6)))*(LOG(($C$7/(3.7*$C$5))+((2.51*$C$15*SQRT($C$6))/($C$5*SQRT(2*$C$19*$C$5*D39)))))))</f>
      </c>
      <c r="F39" s="19">
        <f aca="true" t="shared" si="12" ref="F39:F75">IF(H38="","",(IF(H38=1,"",$C$9*E39*E39/(2*$C$19))))</f>
      </c>
      <c r="G39" s="19">
        <f aca="true" t="shared" si="13" ref="G39:G75">IF(H38="","",IF(H38=1,"",$C$11-$C$12-F39))</f>
      </c>
      <c r="H39" s="14">
        <f t="shared" si="9"/>
      </c>
      <c r="I39" s="18">
        <f t="shared" si="10"/>
      </c>
    </row>
    <row r="40" spans="1:9" ht="12.75">
      <c r="A40" s="20">
        <f aca="true" t="shared" si="14" ref="A40:A50">IF(H40&gt;0,H40,"")</f>
      </c>
      <c r="B40" s="17">
        <f>IF(H39="","",IF(H39=1,"",B39))</f>
      </c>
      <c r="C40" s="16">
        <f>IF(H39="","",IF(H39=1,"",C39))</f>
      </c>
      <c r="D40" s="19">
        <f>IF(H39="","",IF(H39=1,"",G39))</f>
      </c>
      <c r="E40" s="19">
        <f t="shared" si="11"/>
      </c>
      <c r="F40" s="19">
        <f t="shared" si="12"/>
      </c>
      <c r="G40" s="19">
        <f t="shared" si="13"/>
      </c>
      <c r="H40" s="14">
        <f t="shared" si="9"/>
      </c>
      <c r="I40" s="18">
        <f t="shared" si="10"/>
      </c>
    </row>
    <row r="41" spans="1:9" ht="12.75">
      <c r="A41" s="20">
        <f t="shared" si="14"/>
      </c>
      <c r="B41" s="17">
        <f aca="true" t="shared" si="15" ref="B41:B75">IF(H40="","",IF(H40=1,"",B40))</f>
      </c>
      <c r="C41" s="16">
        <f aca="true" t="shared" si="16" ref="C41:C75">IF(H40="","",IF(H40=1,"",C40))</f>
      </c>
      <c r="D41" s="19">
        <f aca="true" t="shared" si="17" ref="D41:D75">IF(H40="","",IF(H40=1,"",G40))</f>
      </c>
      <c r="E41" s="19">
        <f t="shared" si="11"/>
      </c>
      <c r="F41" s="19">
        <f t="shared" si="12"/>
      </c>
      <c r="G41" s="19">
        <f t="shared" si="13"/>
      </c>
      <c r="H41" s="14">
        <f t="shared" si="9"/>
      </c>
      <c r="I41" s="18">
        <f t="shared" si="10"/>
      </c>
    </row>
    <row r="42" spans="1:9" ht="12.75">
      <c r="A42" s="20">
        <f t="shared" si="14"/>
      </c>
      <c r="B42" s="17">
        <f t="shared" si="15"/>
      </c>
      <c r="C42" s="16">
        <f t="shared" si="16"/>
      </c>
      <c r="D42" s="19">
        <f t="shared" si="17"/>
      </c>
      <c r="E42" s="19">
        <f t="shared" si="11"/>
      </c>
      <c r="F42" s="19">
        <f t="shared" si="12"/>
      </c>
      <c r="G42" s="19">
        <f t="shared" si="13"/>
      </c>
      <c r="H42" s="14">
        <f t="shared" si="9"/>
      </c>
      <c r="I42" s="18">
        <f t="shared" si="10"/>
      </c>
    </row>
    <row r="43" spans="1:9" ht="12.75">
      <c r="A43" s="20">
        <f t="shared" si="14"/>
      </c>
      <c r="B43" s="17">
        <f t="shared" si="15"/>
      </c>
      <c r="C43" s="16">
        <f t="shared" si="16"/>
      </c>
      <c r="D43" s="19">
        <f t="shared" si="17"/>
      </c>
      <c r="E43" s="19">
        <f t="shared" si="11"/>
      </c>
      <c r="F43" s="19">
        <f t="shared" si="12"/>
      </c>
      <c r="G43" s="19">
        <f t="shared" si="13"/>
      </c>
      <c r="H43" s="14">
        <f t="shared" si="9"/>
      </c>
      <c r="I43" s="18">
        <f t="shared" si="10"/>
      </c>
    </row>
    <row r="44" spans="1:9" ht="12.75">
      <c r="A44" s="20">
        <f t="shared" si="14"/>
      </c>
      <c r="B44" s="17">
        <f t="shared" si="15"/>
      </c>
      <c r="C44" s="16">
        <f t="shared" si="16"/>
      </c>
      <c r="D44" s="19">
        <f t="shared" si="17"/>
      </c>
      <c r="E44" s="19">
        <f t="shared" si="11"/>
      </c>
      <c r="F44" s="19">
        <f t="shared" si="12"/>
      </c>
      <c r="G44" s="19">
        <f t="shared" si="13"/>
      </c>
      <c r="H44" s="14">
        <f t="shared" si="9"/>
      </c>
      <c r="I44" s="18">
        <f t="shared" si="10"/>
      </c>
    </row>
    <row r="45" spans="1:9" ht="12.75">
      <c r="A45" s="20">
        <f t="shared" si="14"/>
      </c>
      <c r="B45" s="17">
        <f t="shared" si="15"/>
      </c>
      <c r="C45" s="16">
        <f t="shared" si="16"/>
      </c>
      <c r="D45" s="19">
        <f t="shared" si="17"/>
      </c>
      <c r="E45" s="19">
        <f t="shared" si="11"/>
      </c>
      <c r="F45" s="19">
        <f t="shared" si="12"/>
      </c>
      <c r="G45" s="19">
        <f t="shared" si="13"/>
      </c>
      <c r="H45" s="14">
        <f t="shared" si="9"/>
      </c>
      <c r="I45" s="18">
        <f t="shared" si="10"/>
      </c>
    </row>
    <row r="46" spans="1:9" ht="12.75">
      <c r="A46" s="20">
        <f t="shared" si="14"/>
      </c>
      <c r="B46" s="17">
        <f t="shared" si="15"/>
      </c>
      <c r="C46" s="16">
        <f t="shared" si="16"/>
      </c>
      <c r="D46" s="19">
        <f t="shared" si="17"/>
      </c>
      <c r="E46" s="19">
        <f t="shared" si="11"/>
      </c>
      <c r="F46" s="19">
        <f t="shared" si="12"/>
      </c>
      <c r="G46" s="19">
        <f t="shared" si="13"/>
      </c>
      <c r="H46" s="14">
        <f t="shared" si="9"/>
      </c>
      <c r="I46" s="18">
        <f t="shared" si="10"/>
      </c>
    </row>
    <row r="47" spans="1:9" ht="12.75">
      <c r="A47" s="20">
        <f t="shared" si="14"/>
      </c>
      <c r="B47" s="17">
        <f t="shared" si="15"/>
      </c>
      <c r="C47" s="16">
        <f t="shared" si="16"/>
      </c>
      <c r="D47" s="19">
        <f t="shared" si="17"/>
      </c>
      <c r="E47" s="19">
        <f t="shared" si="11"/>
      </c>
      <c r="F47" s="19">
        <f t="shared" si="12"/>
      </c>
      <c r="G47" s="19">
        <f t="shared" si="13"/>
      </c>
      <c r="H47" s="14">
        <f t="shared" si="9"/>
      </c>
      <c r="I47" s="18">
        <f t="shared" si="10"/>
      </c>
    </row>
    <row r="48" spans="1:9" ht="12.75">
      <c r="A48" s="20">
        <f t="shared" si="14"/>
      </c>
      <c r="B48" s="17">
        <f t="shared" si="15"/>
      </c>
      <c r="C48" s="16">
        <f t="shared" si="16"/>
      </c>
      <c r="D48" s="19">
        <f t="shared" si="17"/>
      </c>
      <c r="E48" s="19">
        <f t="shared" si="11"/>
      </c>
      <c r="F48" s="19">
        <f t="shared" si="12"/>
      </c>
      <c r="G48" s="19">
        <f t="shared" si="13"/>
      </c>
      <c r="H48" s="14">
        <f t="shared" si="9"/>
      </c>
      <c r="I48" s="18">
        <f t="shared" si="10"/>
      </c>
    </row>
    <row r="49" spans="1:9" ht="12.75">
      <c r="A49" s="20">
        <f t="shared" si="14"/>
      </c>
      <c r="B49" s="17">
        <f t="shared" si="15"/>
      </c>
      <c r="C49" s="16">
        <f t="shared" si="16"/>
      </c>
      <c r="D49" s="19">
        <f t="shared" si="17"/>
      </c>
      <c r="E49" s="19">
        <f t="shared" si="11"/>
      </c>
      <c r="F49" s="19">
        <f t="shared" si="12"/>
      </c>
      <c r="G49" s="19">
        <f t="shared" si="13"/>
      </c>
      <c r="H49" s="14">
        <f t="shared" si="9"/>
      </c>
      <c r="I49" s="18">
        <f t="shared" si="10"/>
      </c>
    </row>
    <row r="50" spans="1:9" ht="12.75">
      <c r="A50" s="20">
        <f t="shared" si="14"/>
      </c>
      <c r="B50" s="17">
        <f t="shared" si="15"/>
      </c>
      <c r="C50" s="16">
        <f t="shared" si="16"/>
      </c>
      <c r="D50" s="19">
        <f t="shared" si="17"/>
      </c>
      <c r="E50" s="19">
        <f t="shared" si="11"/>
      </c>
      <c r="F50" s="19">
        <f t="shared" si="12"/>
      </c>
      <c r="G50" s="19">
        <f t="shared" si="13"/>
      </c>
      <c r="H50" s="14">
        <f t="shared" si="9"/>
      </c>
      <c r="I50" s="18">
        <f t="shared" si="10"/>
      </c>
    </row>
    <row r="51" spans="2:9" ht="12.75">
      <c r="B51" s="17">
        <f t="shared" si="15"/>
      </c>
      <c r="C51" s="16">
        <f t="shared" si="16"/>
      </c>
      <c r="D51" s="19">
        <f t="shared" si="17"/>
      </c>
      <c r="E51" s="19">
        <f t="shared" si="11"/>
      </c>
      <c r="F51" s="19">
        <f t="shared" si="12"/>
      </c>
      <c r="G51" s="19">
        <f t="shared" si="13"/>
      </c>
      <c r="H51" s="14">
        <f t="shared" si="9"/>
      </c>
      <c r="I51" s="18">
        <f t="shared" si="10"/>
      </c>
    </row>
    <row r="52" spans="2:9" ht="12.75">
      <c r="B52" s="17">
        <f t="shared" si="15"/>
      </c>
      <c r="C52" s="16">
        <f t="shared" si="16"/>
      </c>
      <c r="D52" s="19">
        <f t="shared" si="17"/>
      </c>
      <c r="E52" s="19">
        <f t="shared" si="11"/>
      </c>
      <c r="F52" s="19">
        <f t="shared" si="12"/>
      </c>
      <c r="G52" s="19">
        <f t="shared" si="13"/>
      </c>
      <c r="H52" s="14">
        <f t="shared" si="9"/>
      </c>
      <c r="I52" s="18">
        <f t="shared" si="10"/>
      </c>
    </row>
    <row r="53" spans="2:9" ht="12.75">
      <c r="B53" s="17">
        <f t="shared" si="15"/>
      </c>
      <c r="C53" s="16">
        <f t="shared" si="16"/>
      </c>
      <c r="D53" s="19">
        <f t="shared" si="17"/>
      </c>
      <c r="E53" s="19">
        <f t="shared" si="11"/>
      </c>
      <c r="F53" s="19">
        <f t="shared" si="12"/>
      </c>
      <c r="G53" s="19">
        <f t="shared" si="13"/>
      </c>
      <c r="H53" s="14">
        <f t="shared" si="9"/>
      </c>
      <c r="I53" s="18">
        <f t="shared" si="10"/>
      </c>
    </row>
    <row r="54" spans="2:9" ht="12.75">
      <c r="B54" s="17">
        <f t="shared" si="15"/>
      </c>
      <c r="C54" s="16">
        <f t="shared" si="16"/>
      </c>
      <c r="D54" s="19">
        <f t="shared" si="17"/>
      </c>
      <c r="E54" s="19">
        <f t="shared" si="11"/>
      </c>
      <c r="F54" s="19">
        <f t="shared" si="12"/>
      </c>
      <c r="G54" s="19">
        <f t="shared" si="13"/>
      </c>
      <c r="H54" s="14">
        <f t="shared" si="9"/>
      </c>
      <c r="I54" s="18">
        <f t="shared" si="10"/>
      </c>
    </row>
    <row r="55" spans="2:9" ht="12.75">
      <c r="B55" s="17">
        <f t="shared" si="15"/>
      </c>
      <c r="C55" s="16">
        <f t="shared" si="16"/>
      </c>
      <c r="D55" s="19">
        <f t="shared" si="17"/>
      </c>
      <c r="E55" s="19">
        <f t="shared" si="11"/>
      </c>
      <c r="F55" s="19">
        <f t="shared" si="12"/>
      </c>
      <c r="G55" s="19">
        <f t="shared" si="13"/>
      </c>
      <c r="H55" s="14">
        <f t="shared" si="9"/>
      </c>
      <c r="I55" s="18">
        <f t="shared" si="10"/>
      </c>
    </row>
    <row r="56" spans="2:9" ht="12.75">
      <c r="B56" s="17">
        <f t="shared" si="15"/>
      </c>
      <c r="C56" s="16">
        <f t="shared" si="16"/>
      </c>
      <c r="D56" s="19">
        <f t="shared" si="17"/>
      </c>
      <c r="E56" s="19">
        <f t="shared" si="11"/>
      </c>
      <c r="F56" s="19">
        <f t="shared" si="12"/>
      </c>
      <c r="G56" s="19">
        <f t="shared" si="13"/>
      </c>
      <c r="H56" s="14">
        <f t="shared" si="9"/>
      </c>
      <c r="I56" s="18">
        <f t="shared" si="10"/>
      </c>
    </row>
    <row r="57" spans="2:9" ht="12.75">
      <c r="B57" s="17">
        <f t="shared" si="15"/>
      </c>
      <c r="C57" s="16">
        <f t="shared" si="16"/>
      </c>
      <c r="D57" s="19">
        <f t="shared" si="17"/>
      </c>
      <c r="E57" s="19">
        <f t="shared" si="11"/>
      </c>
      <c r="F57" s="19">
        <f t="shared" si="12"/>
      </c>
      <c r="G57" s="19">
        <f t="shared" si="13"/>
      </c>
      <c r="H57" s="14">
        <f t="shared" si="9"/>
      </c>
      <c r="I57" s="18">
        <f t="shared" si="10"/>
      </c>
    </row>
    <row r="58" spans="2:9" ht="12.75">
      <c r="B58" s="17">
        <f t="shared" si="15"/>
      </c>
      <c r="C58" s="16">
        <f t="shared" si="16"/>
      </c>
      <c r="D58" s="19">
        <f t="shared" si="17"/>
      </c>
      <c r="E58" s="19">
        <f t="shared" si="11"/>
      </c>
      <c r="F58" s="19">
        <f t="shared" si="12"/>
      </c>
      <c r="G58" s="19">
        <f t="shared" si="13"/>
      </c>
      <c r="H58" s="14">
        <f t="shared" si="9"/>
      </c>
      <c r="I58" s="18">
        <f t="shared" si="10"/>
      </c>
    </row>
    <row r="59" spans="2:9" ht="12.75">
      <c r="B59" s="17">
        <f t="shared" si="15"/>
      </c>
      <c r="C59" s="16">
        <f t="shared" si="16"/>
      </c>
      <c r="D59" s="19">
        <f t="shared" si="17"/>
      </c>
      <c r="E59" s="19">
        <f t="shared" si="11"/>
      </c>
      <c r="F59" s="19">
        <f t="shared" si="12"/>
      </c>
      <c r="G59" s="19">
        <f t="shared" si="13"/>
      </c>
      <c r="H59" s="14">
        <f t="shared" si="9"/>
      </c>
      <c r="I59" s="18">
        <f t="shared" si="10"/>
      </c>
    </row>
    <row r="60" spans="2:9" ht="12.75">
      <c r="B60" s="17">
        <f t="shared" si="15"/>
      </c>
      <c r="C60" s="16">
        <f t="shared" si="16"/>
      </c>
      <c r="D60" s="19">
        <f t="shared" si="17"/>
      </c>
      <c r="E60" s="19">
        <f t="shared" si="11"/>
      </c>
      <c r="F60" s="19">
        <f t="shared" si="12"/>
      </c>
      <c r="G60" s="19">
        <f t="shared" si="13"/>
      </c>
      <c r="H60" s="14">
        <f t="shared" si="9"/>
      </c>
      <c r="I60" s="18">
        <f t="shared" si="10"/>
      </c>
    </row>
    <row r="61" spans="2:9" ht="12.75">
      <c r="B61" s="17">
        <f t="shared" si="15"/>
      </c>
      <c r="C61" s="16">
        <f t="shared" si="16"/>
      </c>
      <c r="D61" s="19">
        <f t="shared" si="17"/>
      </c>
      <c r="E61" s="19">
        <f t="shared" si="11"/>
      </c>
      <c r="F61" s="19">
        <f t="shared" si="12"/>
      </c>
      <c r="G61" s="19">
        <f t="shared" si="13"/>
      </c>
      <c r="H61" s="14">
        <f t="shared" si="9"/>
      </c>
      <c r="I61" s="18">
        <f t="shared" si="10"/>
      </c>
    </row>
    <row r="62" spans="2:9" ht="12.75">
      <c r="B62" s="17">
        <f t="shared" si="15"/>
      </c>
      <c r="C62" s="16">
        <f t="shared" si="16"/>
      </c>
      <c r="D62" s="19">
        <f t="shared" si="17"/>
      </c>
      <c r="E62" s="19">
        <f t="shared" si="11"/>
      </c>
      <c r="F62" s="19">
        <f t="shared" si="12"/>
      </c>
      <c r="G62" s="19">
        <f t="shared" si="13"/>
      </c>
      <c r="H62" s="14">
        <f t="shared" si="9"/>
      </c>
      <c r="I62" s="18">
        <f t="shared" si="10"/>
      </c>
    </row>
    <row r="63" spans="2:9" ht="12.75">
      <c r="B63" s="17">
        <f t="shared" si="15"/>
      </c>
      <c r="C63" s="16">
        <f t="shared" si="16"/>
      </c>
      <c r="D63" s="19">
        <f t="shared" si="17"/>
      </c>
      <c r="E63" s="19">
        <f t="shared" si="11"/>
      </c>
      <c r="F63" s="19">
        <f t="shared" si="12"/>
      </c>
      <c r="G63" s="19">
        <f t="shared" si="13"/>
      </c>
      <c r="H63" s="14">
        <f t="shared" si="9"/>
      </c>
      <c r="I63" s="18">
        <f t="shared" si="10"/>
      </c>
    </row>
    <row r="64" spans="2:9" ht="12.75">
      <c r="B64" s="17">
        <f t="shared" si="15"/>
      </c>
      <c r="C64" s="16">
        <f t="shared" si="16"/>
      </c>
      <c r="D64" s="19">
        <f t="shared" si="17"/>
      </c>
      <c r="E64" s="19">
        <f t="shared" si="11"/>
      </c>
      <c r="F64" s="19">
        <f t="shared" si="12"/>
      </c>
      <c r="G64" s="19">
        <f t="shared" si="13"/>
      </c>
      <c r="H64" s="14">
        <f t="shared" si="9"/>
      </c>
      <c r="I64" s="18">
        <f t="shared" si="10"/>
      </c>
    </row>
    <row r="65" spans="2:9" ht="12.75">
      <c r="B65" s="17">
        <f t="shared" si="15"/>
      </c>
      <c r="C65" s="16">
        <f t="shared" si="16"/>
      </c>
      <c r="D65" s="19">
        <f t="shared" si="17"/>
      </c>
      <c r="E65" s="19">
        <f t="shared" si="11"/>
      </c>
      <c r="F65" s="19">
        <f t="shared" si="12"/>
      </c>
      <c r="G65" s="19">
        <f t="shared" si="13"/>
      </c>
      <c r="H65" s="14">
        <f t="shared" si="9"/>
      </c>
      <c r="I65" s="18">
        <f t="shared" si="10"/>
      </c>
    </row>
    <row r="66" spans="2:9" ht="12.75">
      <c r="B66" s="17">
        <f t="shared" si="15"/>
      </c>
      <c r="C66" s="16">
        <f t="shared" si="16"/>
      </c>
      <c r="D66" s="19">
        <f t="shared" si="17"/>
      </c>
      <c r="E66" s="19">
        <f t="shared" si="11"/>
      </c>
      <c r="F66" s="19">
        <f t="shared" si="12"/>
      </c>
      <c r="G66" s="19">
        <f t="shared" si="13"/>
      </c>
      <c r="H66" s="14">
        <f t="shared" si="9"/>
      </c>
      <c r="I66" s="18">
        <f t="shared" si="10"/>
      </c>
    </row>
    <row r="67" spans="2:9" ht="12.75">
      <c r="B67" s="17">
        <f t="shared" si="15"/>
      </c>
      <c r="C67" s="16">
        <f t="shared" si="16"/>
      </c>
      <c r="D67" s="19">
        <f t="shared" si="17"/>
      </c>
      <c r="E67" s="19">
        <f t="shared" si="11"/>
      </c>
      <c r="F67" s="19">
        <f t="shared" si="12"/>
      </c>
      <c r="G67" s="19">
        <f t="shared" si="13"/>
      </c>
      <c r="H67" s="14">
        <f t="shared" si="9"/>
      </c>
      <c r="I67" s="18">
        <f t="shared" si="10"/>
      </c>
    </row>
    <row r="68" spans="2:9" ht="12.75">
      <c r="B68" s="17">
        <f t="shared" si="15"/>
      </c>
      <c r="C68" s="16">
        <f t="shared" si="16"/>
      </c>
      <c r="D68" s="19">
        <f t="shared" si="17"/>
      </c>
      <c r="E68" s="19">
        <f t="shared" si="11"/>
      </c>
      <c r="F68" s="19">
        <f t="shared" si="12"/>
      </c>
      <c r="G68" s="19">
        <f t="shared" si="13"/>
      </c>
      <c r="H68" s="14">
        <f t="shared" si="9"/>
      </c>
      <c r="I68" s="18">
        <f t="shared" si="10"/>
      </c>
    </row>
    <row r="69" spans="2:9" ht="12.75">
      <c r="B69" s="17">
        <f t="shared" si="15"/>
      </c>
      <c r="C69" s="16">
        <f t="shared" si="16"/>
      </c>
      <c r="D69" s="19">
        <f t="shared" si="17"/>
      </c>
      <c r="E69" s="19">
        <f t="shared" si="11"/>
      </c>
      <c r="F69" s="19">
        <f t="shared" si="12"/>
      </c>
      <c r="G69" s="19">
        <f t="shared" si="13"/>
      </c>
      <c r="H69" s="14">
        <f t="shared" si="9"/>
      </c>
      <c r="I69" s="18">
        <f t="shared" si="10"/>
      </c>
    </row>
    <row r="70" spans="2:9" ht="12.75">
      <c r="B70" s="17">
        <f t="shared" si="15"/>
      </c>
      <c r="C70" s="16">
        <f t="shared" si="16"/>
      </c>
      <c r="D70" s="19">
        <f t="shared" si="17"/>
      </c>
      <c r="E70" s="19">
        <f t="shared" si="11"/>
      </c>
      <c r="F70" s="19">
        <f t="shared" si="12"/>
      </c>
      <c r="G70" s="19">
        <f t="shared" si="13"/>
      </c>
      <c r="H70" s="14">
        <f t="shared" si="9"/>
      </c>
      <c r="I70" s="18">
        <f t="shared" si="10"/>
      </c>
    </row>
    <row r="71" spans="2:9" ht="12.75">
      <c r="B71" s="17">
        <f t="shared" si="15"/>
      </c>
      <c r="C71" s="16">
        <f t="shared" si="16"/>
      </c>
      <c r="D71" s="19">
        <f t="shared" si="17"/>
      </c>
      <c r="E71" s="19">
        <f t="shared" si="11"/>
      </c>
      <c r="F71" s="19">
        <f t="shared" si="12"/>
      </c>
      <c r="G71" s="19">
        <f t="shared" si="13"/>
      </c>
      <c r="H71" s="14">
        <f t="shared" si="9"/>
      </c>
      <c r="I71" s="18">
        <f t="shared" si="10"/>
      </c>
    </row>
    <row r="72" spans="2:9" ht="12.75">
      <c r="B72" s="17">
        <f t="shared" si="15"/>
      </c>
      <c r="C72" s="16">
        <f t="shared" si="16"/>
      </c>
      <c r="D72" s="19">
        <f t="shared" si="17"/>
      </c>
      <c r="E72" s="19">
        <f t="shared" si="11"/>
      </c>
      <c r="F72" s="19">
        <f t="shared" si="12"/>
      </c>
      <c r="G72" s="19">
        <f t="shared" si="13"/>
      </c>
      <c r="H72" s="14">
        <f t="shared" si="9"/>
      </c>
      <c r="I72" s="18">
        <f t="shared" si="10"/>
      </c>
    </row>
    <row r="73" spans="2:9" ht="12.75">
      <c r="B73" s="17">
        <f t="shared" si="15"/>
      </c>
      <c r="C73" s="16">
        <f t="shared" si="16"/>
      </c>
      <c r="D73" s="19">
        <f t="shared" si="17"/>
      </c>
      <c r="E73" s="19">
        <f t="shared" si="11"/>
      </c>
      <c r="F73" s="19">
        <f t="shared" si="12"/>
      </c>
      <c r="G73" s="19">
        <f t="shared" si="13"/>
      </c>
      <c r="H73" s="14">
        <f t="shared" si="9"/>
      </c>
      <c r="I73" s="18">
        <f t="shared" si="10"/>
      </c>
    </row>
    <row r="74" spans="2:9" ht="12.75">
      <c r="B74" s="17">
        <f t="shared" si="15"/>
      </c>
      <c r="C74" s="16">
        <f t="shared" si="16"/>
      </c>
      <c r="D74" s="19">
        <f t="shared" si="17"/>
      </c>
      <c r="E74" s="19">
        <f t="shared" si="11"/>
      </c>
      <c r="F74" s="19">
        <f t="shared" si="12"/>
      </c>
      <c r="G74" s="19">
        <f t="shared" si="13"/>
      </c>
      <c r="H74" s="14">
        <f t="shared" si="9"/>
      </c>
      <c r="I74" s="18">
        <f t="shared" si="10"/>
      </c>
    </row>
    <row r="75" spans="2:9" ht="12.75">
      <c r="B75" s="17">
        <f t="shared" si="15"/>
      </c>
      <c r="C75" s="16">
        <f t="shared" si="16"/>
      </c>
      <c r="D75" s="19">
        <f t="shared" si="17"/>
      </c>
      <c r="E75" s="19">
        <f t="shared" si="11"/>
      </c>
      <c r="F75" s="19">
        <f t="shared" si="12"/>
      </c>
      <c r="G75" s="19">
        <f t="shared" si="13"/>
      </c>
      <c r="H75" s="14">
        <f t="shared" si="9"/>
      </c>
      <c r="I75" s="18">
        <f t="shared" si="10"/>
      </c>
    </row>
    <row r="76" spans="2:8" ht="12.75">
      <c r="B76" s="2"/>
      <c r="C76" s="2"/>
      <c r="D76" s="14"/>
      <c r="E76" s="15"/>
      <c r="F76" s="15"/>
      <c r="G76" s="15"/>
      <c r="H76" s="15"/>
    </row>
    <row r="77" spans="2:8" ht="12.75">
      <c r="B77" s="2"/>
      <c r="C77" s="2"/>
      <c r="D77" s="14"/>
      <c r="E77" s="15"/>
      <c r="F77" s="15"/>
      <c r="G77" s="15"/>
      <c r="H77" s="15"/>
    </row>
    <row r="78" spans="2:8" ht="15.75">
      <c r="B78" s="38"/>
      <c r="C78" s="38"/>
      <c r="D78" s="14"/>
      <c r="E78" s="15"/>
      <c r="F78" s="15"/>
      <c r="G78" s="15"/>
      <c r="H78" s="15"/>
    </row>
    <row r="79" spans="2:8" ht="15">
      <c r="B79" s="37"/>
      <c r="C79" s="39"/>
      <c r="D79" s="14"/>
      <c r="E79" s="15"/>
      <c r="F79" s="15"/>
      <c r="G79" s="15"/>
      <c r="H79" s="15"/>
    </row>
    <row r="80" spans="2:8" ht="15">
      <c r="B80" s="37"/>
      <c r="C80" s="39"/>
      <c r="D80" s="14"/>
      <c r="E80" s="15"/>
      <c r="F80" s="15"/>
      <c r="G80" s="15"/>
      <c r="H80" s="15"/>
    </row>
    <row r="81" spans="2:8" ht="15">
      <c r="B81" s="37"/>
      <c r="C81" s="39"/>
      <c r="D81" s="14"/>
      <c r="E81" s="15"/>
      <c r="F81" s="15"/>
      <c r="G81" s="15"/>
      <c r="H81" s="15"/>
    </row>
    <row r="82" spans="2:8" ht="15">
      <c r="B82" s="37"/>
      <c r="C82" s="39"/>
      <c r="D82" s="14"/>
      <c r="E82" s="15"/>
      <c r="F82" s="15"/>
      <c r="G82" s="15"/>
      <c r="H82" s="15"/>
    </row>
    <row r="83" spans="2:8" ht="12.75">
      <c r="B83" s="14"/>
      <c r="C83" s="14"/>
      <c r="D83" s="14"/>
      <c r="E83" s="15"/>
      <c r="F83" s="15"/>
      <c r="G83" s="15"/>
      <c r="H83" s="15"/>
    </row>
    <row r="84" spans="2:8" ht="12.75">
      <c r="B84" s="14"/>
      <c r="C84" s="14"/>
      <c r="D84" s="14"/>
      <c r="E84" s="15"/>
      <c r="F84" s="15"/>
      <c r="G84" s="15"/>
      <c r="H84" s="15"/>
    </row>
    <row r="85" spans="2:8" ht="12.75">
      <c r="B85" s="15"/>
      <c r="C85" s="15"/>
      <c r="D85" s="15"/>
      <c r="E85" s="15"/>
      <c r="F85" s="15"/>
      <c r="G85" s="15"/>
      <c r="H85" s="15"/>
    </row>
    <row r="86" spans="2:8" ht="12.75">
      <c r="B86" s="15"/>
      <c r="C86" s="15"/>
      <c r="D86" s="15"/>
      <c r="E86" s="15"/>
      <c r="F86" s="15"/>
      <c r="G86" s="15"/>
      <c r="H86" s="15"/>
    </row>
    <row r="87" spans="2:8" ht="12.75">
      <c r="B87" s="15"/>
      <c r="C87" s="15"/>
      <c r="D87" s="15"/>
      <c r="E87" s="15"/>
      <c r="F87" s="15"/>
      <c r="G87" s="15"/>
      <c r="H87" s="15"/>
    </row>
  </sheetData>
  <sheetProtection/>
  <protectedRanges>
    <protectedRange password="CA71" sqref="I5:P19 B38:I75" name="Rango1"/>
  </protectedRanges>
  <mergeCells count="9">
    <mergeCell ref="B13:D13"/>
    <mergeCell ref="B17:D17"/>
    <mergeCell ref="O3:O4"/>
    <mergeCell ref="F3:G3"/>
    <mergeCell ref="F12:G12"/>
    <mergeCell ref="B4:D4"/>
    <mergeCell ref="B3:D3"/>
    <mergeCell ref="B8:D8"/>
    <mergeCell ref="B10:D10"/>
  </mergeCells>
  <conditionalFormatting sqref="G13:G16 C79:C82 L27:L30">
    <cfRule type="cellIs" priority="1" dxfId="0" operator="greaterThan" stopIfTrue="1">
      <formula>0</formula>
    </cfRule>
  </conditionalFormatting>
  <conditionalFormatting sqref="I38:I75 P5:P19">
    <cfRule type="cellIs" priority="2" dxfId="1" operator="greaterThan" stopIfTrue="1">
      <formula>0</formula>
    </cfRule>
  </conditionalFormatting>
  <printOptions horizontalCentered="1"/>
  <pageMargins left="0.7874015748031497" right="0.7874015748031497" top="0.5905511811023623" bottom="0.5905511811023623" header="0" footer="0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06"/>
  <sheetViews>
    <sheetView zoomScale="75" zoomScaleNormal="75" workbookViewId="0" topLeftCell="A1">
      <selection activeCell="R3" sqref="R3"/>
    </sheetView>
  </sheetViews>
  <sheetFormatPr defaultColWidth="11.421875" defaultRowHeight="12.75"/>
  <cols>
    <col min="1" max="1" width="4.00390625" style="66" customWidth="1"/>
    <col min="2" max="6" width="12.7109375" style="0" customWidth="1"/>
    <col min="8" max="8" width="5.8515625" style="0" customWidth="1"/>
    <col min="13" max="13" width="4.7109375" style="0" customWidth="1"/>
  </cols>
  <sheetData>
    <row r="1" spans="1:19" ht="12.75" customHeight="1">
      <c r="A1" s="282" t="s">
        <v>75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</row>
    <row r="2" spans="1:19" ht="12.75" customHeight="1" thickBot="1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</row>
    <row r="3" spans="1:19" ht="15" customHeight="1" thickTop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N3" s="151"/>
      <c r="O3" s="151"/>
      <c r="P3" s="151"/>
      <c r="Q3" s="151"/>
      <c r="R3" s="151"/>
      <c r="S3" s="151"/>
    </row>
    <row r="4" spans="1:19" ht="15">
      <c r="A4" s="11"/>
      <c r="B4" s="11"/>
      <c r="C4" s="11"/>
      <c r="D4" s="11"/>
      <c r="E4" s="11"/>
      <c r="F4" s="11"/>
      <c r="G4" s="11"/>
      <c r="H4" s="10"/>
      <c r="N4" s="152"/>
      <c r="O4" s="152"/>
      <c r="P4" s="152"/>
      <c r="Q4" s="152"/>
      <c r="R4" s="152"/>
      <c r="S4" s="152"/>
    </row>
    <row r="5" spans="1:19" ht="13.5" thickBot="1">
      <c r="A5"/>
      <c r="N5" s="152"/>
      <c r="O5" s="152"/>
      <c r="P5" s="152"/>
      <c r="Q5" s="152"/>
      <c r="R5" s="152"/>
      <c r="S5" s="152"/>
    </row>
    <row r="6" spans="1:19" ht="19.5" customHeight="1" thickBot="1">
      <c r="A6"/>
      <c r="B6" s="279" t="s">
        <v>0</v>
      </c>
      <c r="C6" s="280"/>
      <c r="D6" s="281"/>
      <c r="F6" s="279" t="s">
        <v>22</v>
      </c>
      <c r="G6" s="281"/>
      <c r="I6" s="279" t="s">
        <v>49</v>
      </c>
      <c r="J6" s="280"/>
      <c r="K6" s="124"/>
      <c r="L6" s="124"/>
      <c r="N6" s="152"/>
      <c r="O6" s="152"/>
      <c r="P6" s="152"/>
      <c r="Q6" s="152"/>
      <c r="R6" s="152"/>
      <c r="S6" s="152"/>
    </row>
    <row r="7" spans="1:19" ht="19.5" customHeight="1" thickBot="1">
      <c r="A7"/>
      <c r="B7" s="81" t="s">
        <v>26</v>
      </c>
      <c r="C7" s="5"/>
      <c r="D7" s="84" t="s">
        <v>7</v>
      </c>
      <c r="F7" s="32"/>
      <c r="G7" s="33"/>
      <c r="I7" s="77" t="s">
        <v>29</v>
      </c>
      <c r="J7" s="94">
        <f>VLOOKUP(1,$A$15:$F$57,5,FALSE)</f>
        <v>0.026101465526980908</v>
      </c>
      <c r="K7" s="2"/>
      <c r="L7" s="2"/>
      <c r="N7" s="152"/>
      <c r="O7" s="152"/>
      <c r="P7" s="152"/>
      <c r="Q7" s="152"/>
      <c r="R7" s="152"/>
      <c r="S7" s="152"/>
    </row>
    <row r="8" spans="1:19" ht="19.5" customHeight="1" thickBot="1">
      <c r="A8"/>
      <c r="B8" s="82" t="s">
        <v>1</v>
      </c>
      <c r="C8" s="3"/>
      <c r="D8" s="85" t="s">
        <v>7</v>
      </c>
      <c r="F8" s="44"/>
      <c r="G8" s="45"/>
      <c r="I8" s="2"/>
      <c r="J8" s="2"/>
      <c r="K8" s="2"/>
      <c r="L8" s="2"/>
      <c r="N8" s="152"/>
      <c r="O8" s="152"/>
      <c r="P8" s="152"/>
      <c r="Q8" s="152"/>
      <c r="R8" s="152"/>
      <c r="S8" s="152"/>
    </row>
    <row r="9" spans="1:19" ht="19.5" customHeight="1">
      <c r="A9"/>
      <c r="B9" s="82" t="s">
        <v>10</v>
      </c>
      <c r="C9" s="3">
        <v>0.0001</v>
      </c>
      <c r="D9" s="85"/>
      <c r="F9" s="34">
        <v>0</v>
      </c>
      <c r="G9" s="35" t="s">
        <v>23</v>
      </c>
      <c r="I9" s="37"/>
      <c r="J9" s="37"/>
      <c r="K9" s="37"/>
      <c r="L9" s="37"/>
      <c r="N9" s="152"/>
      <c r="O9" s="152"/>
      <c r="P9" s="152"/>
      <c r="Q9" s="152"/>
      <c r="R9" s="152"/>
      <c r="S9" s="152"/>
    </row>
    <row r="10" spans="1:19" ht="19.5" customHeight="1" thickBot="1">
      <c r="A10"/>
      <c r="B10" s="82" t="s">
        <v>27</v>
      </c>
      <c r="C10" s="3">
        <v>20000</v>
      </c>
      <c r="D10" s="85"/>
      <c r="F10" s="31">
        <v>1</v>
      </c>
      <c r="G10" s="36" t="s">
        <v>24</v>
      </c>
      <c r="I10" s="37"/>
      <c r="J10" s="37"/>
      <c r="K10" s="37"/>
      <c r="L10" s="37"/>
      <c r="N10" s="152"/>
      <c r="O10" s="152"/>
      <c r="P10" s="152"/>
      <c r="Q10" s="152"/>
      <c r="R10" s="152"/>
      <c r="S10" s="152"/>
    </row>
    <row r="11" spans="1:19" ht="19.5" customHeight="1" thickBot="1">
      <c r="A11"/>
      <c r="B11" s="83" t="s">
        <v>28</v>
      </c>
      <c r="C11" s="4">
        <v>0.001</v>
      </c>
      <c r="D11" s="86"/>
      <c r="N11" s="152"/>
      <c r="O11" s="152"/>
      <c r="P11" s="152"/>
      <c r="Q11" s="152"/>
      <c r="R11" s="152"/>
      <c r="S11" s="152"/>
    </row>
    <row r="12" spans="1:19" ht="19.5" customHeight="1">
      <c r="A12"/>
      <c r="C12" s="2"/>
      <c r="D12" s="2"/>
      <c r="E12" s="2"/>
      <c r="N12" s="152"/>
      <c r="O12" s="152"/>
      <c r="P12" s="152"/>
      <c r="Q12" s="152"/>
      <c r="R12" s="152"/>
      <c r="S12" s="152"/>
    </row>
    <row r="13" spans="1:19" ht="19.5" customHeight="1" thickBot="1">
      <c r="A13"/>
      <c r="D13" s="7"/>
      <c r="E13" s="7"/>
      <c r="N13" s="152"/>
      <c r="O13" s="152"/>
      <c r="P13" s="152"/>
      <c r="Q13" s="152"/>
      <c r="R13" s="152"/>
      <c r="S13" s="152"/>
    </row>
    <row r="14" spans="1:19" ht="19.5" customHeight="1" thickBot="1">
      <c r="A14"/>
      <c r="B14" s="78" t="s">
        <v>29</v>
      </c>
      <c r="C14" s="79" t="s">
        <v>30</v>
      </c>
      <c r="D14" s="78" t="s">
        <v>31</v>
      </c>
      <c r="E14" s="80" t="s">
        <v>29</v>
      </c>
      <c r="F14" s="78" t="s">
        <v>21</v>
      </c>
      <c r="G14" s="66"/>
      <c r="N14" s="152"/>
      <c r="O14" s="152"/>
      <c r="P14" s="152"/>
      <c r="Q14" s="152"/>
      <c r="R14" s="152"/>
      <c r="S14" s="152"/>
    </row>
    <row r="15" spans="1:19" ht="19.5" customHeight="1">
      <c r="A15"/>
      <c r="B15" s="8"/>
      <c r="C15" s="8"/>
      <c r="D15" s="8"/>
      <c r="E15" s="6">
        <f>IF($C$10&lt;=2200,64/$C$10,$C$11)</f>
        <v>0.001</v>
      </c>
      <c r="G15" s="66">
        <v>1</v>
      </c>
      <c r="N15" s="152"/>
      <c r="O15" s="152"/>
      <c r="P15" s="152"/>
      <c r="Q15" s="152"/>
      <c r="R15" s="152"/>
      <c r="S15" s="152"/>
    </row>
    <row r="16" spans="1:19" ht="19.5" customHeight="1">
      <c r="A16" s="66">
        <f>F16</f>
        <v>0</v>
      </c>
      <c r="B16" s="154">
        <f>IF(64/$C$10=$E$15,"",$E$15)</f>
        <v>0.001</v>
      </c>
      <c r="C16" s="157">
        <f>IF(E15=64/$C$10,"",SQRT(1/B16))</f>
        <v>31.622776601683793</v>
      </c>
      <c r="D16" s="156">
        <f>IF(B16=64/$C$10,"",SQRT(1/(-2*LOG(($C$9/3.7)+(2.51/($C$10*SQRT(B16)))))^-2))</f>
        <v>4.796817406807629</v>
      </c>
      <c r="E16" s="155">
        <f>IF(B16=64/$C$10,"",POWER((-2*LOG(($C$9/3.7)+(2.51/($C$10*SQRT(B16))))),-2))</f>
        <v>0.043460390648040394</v>
      </c>
      <c r="F16" s="154">
        <f>IF((ABS(E16-B16)&lt;=0.00000001),1,0)</f>
        <v>0</v>
      </c>
      <c r="G16" s="66">
        <v>2</v>
      </c>
      <c r="N16" s="152"/>
      <c r="O16" s="152"/>
      <c r="P16" s="152"/>
      <c r="Q16" s="152"/>
      <c r="R16" s="152"/>
      <c r="S16" s="152"/>
    </row>
    <row r="17" spans="1:19" ht="19.5" customHeight="1">
      <c r="A17" s="66">
        <f aca="true" t="shared" si="0" ref="A17:A80">F17</f>
        <v>0</v>
      </c>
      <c r="B17" s="154">
        <f aca="true" t="shared" si="1" ref="B17:B25">IF(F16="","",IF(F16=1,"",E16))</f>
        <v>0.043460390648040394</v>
      </c>
      <c r="C17" s="155">
        <f aca="true" t="shared" si="2" ref="C17:C25">IF(F16="","",IF(F16=1,"",D16))</f>
        <v>4.796817406807629</v>
      </c>
      <c r="D17" s="156">
        <f aca="true" t="shared" si="3" ref="D17:D25">IF(F16="","",IF(F16=1,"",SQRT(1/(-2*LOG(($C$9/3.7)+(2.51/($C$10*SQRT(B17)))))^-2)))</f>
        <v>6.402660580987875</v>
      </c>
      <c r="E17" s="155">
        <f aca="true" t="shared" si="4" ref="E17:E25">IF(F16="","",IF(F16=1,"",POWER((-2*LOG(($C$9/3.7)+(2.51/($C$10*SQRT(B17))))),-2)))</f>
        <v>0.024393776528635027</v>
      </c>
      <c r="F17" s="154">
        <f aca="true" t="shared" si="5" ref="F17:F25">IF(F16="","",IF(F16=1,"",IF((ABS(E17-B17)&lt;=0.00000001),1,0)))</f>
        <v>0</v>
      </c>
      <c r="G17" s="66">
        <v>3</v>
      </c>
      <c r="N17" s="152"/>
      <c r="O17" s="152"/>
      <c r="P17" s="152"/>
      <c r="Q17" s="152"/>
      <c r="R17" s="152"/>
      <c r="S17" s="152"/>
    </row>
    <row r="18" spans="1:19" ht="19.5" customHeight="1">
      <c r="A18" s="66">
        <f t="shared" si="0"/>
        <v>0</v>
      </c>
      <c r="B18" s="154">
        <f t="shared" si="1"/>
        <v>0.024393776528635027</v>
      </c>
      <c r="C18" s="155">
        <f t="shared" si="2"/>
        <v>6.402660580987875</v>
      </c>
      <c r="D18" s="156">
        <f t="shared" si="3"/>
        <v>6.161257004410656</v>
      </c>
      <c r="E18" s="155">
        <f t="shared" si="4"/>
        <v>0.026342764551655313</v>
      </c>
      <c r="F18" s="154">
        <f t="shared" si="5"/>
        <v>0</v>
      </c>
      <c r="G18" s="66">
        <v>4</v>
      </c>
      <c r="N18" s="152"/>
      <c r="O18" s="152"/>
      <c r="P18" s="152"/>
      <c r="Q18" s="152"/>
      <c r="R18" s="152"/>
      <c r="S18" s="152"/>
    </row>
    <row r="19" spans="1:19" ht="19.5" customHeight="1">
      <c r="A19" s="66">
        <f t="shared" si="0"/>
        <v>0</v>
      </c>
      <c r="B19" s="154">
        <f t="shared" si="1"/>
        <v>0.026342764551655313</v>
      </c>
      <c r="C19" s="155">
        <f t="shared" si="2"/>
        <v>6.161257004410656</v>
      </c>
      <c r="D19" s="156">
        <f t="shared" si="3"/>
        <v>6.193532591175053</v>
      </c>
      <c r="E19" s="155">
        <f t="shared" si="4"/>
        <v>0.02606892637411166</v>
      </c>
      <c r="F19" s="154">
        <f t="shared" si="5"/>
        <v>0</v>
      </c>
      <c r="G19" s="66">
        <v>5</v>
      </c>
      <c r="N19" s="152"/>
      <c r="O19" s="152"/>
      <c r="P19" s="152"/>
      <c r="Q19" s="152"/>
      <c r="R19" s="152"/>
      <c r="S19" s="152"/>
    </row>
    <row r="20" spans="1:19" ht="19.5" customHeight="1">
      <c r="A20" s="66">
        <f t="shared" si="0"/>
        <v>0</v>
      </c>
      <c r="B20" s="154">
        <f t="shared" si="1"/>
        <v>0.02606892637411166</v>
      </c>
      <c r="C20" s="155">
        <f t="shared" si="2"/>
        <v>6.193532591175053</v>
      </c>
      <c r="D20" s="156">
        <f t="shared" si="3"/>
        <v>6.189147267207938</v>
      </c>
      <c r="E20" s="155">
        <f t="shared" si="4"/>
        <v>0.026105881768347244</v>
      </c>
      <c r="F20" s="154">
        <f t="shared" si="5"/>
        <v>0</v>
      </c>
      <c r="G20" s="66">
        <v>6</v>
      </c>
      <c r="N20" s="152"/>
      <c r="O20" s="152"/>
      <c r="P20" s="152"/>
      <c r="Q20" s="152"/>
      <c r="R20" s="152"/>
      <c r="S20" s="152"/>
    </row>
    <row r="21" spans="1:19" ht="19.5" customHeight="1">
      <c r="A21" s="66">
        <f t="shared" si="0"/>
        <v>0</v>
      </c>
      <c r="B21" s="154">
        <f t="shared" si="1"/>
        <v>0.026105881768347244</v>
      </c>
      <c r="C21" s="155">
        <f t="shared" si="2"/>
        <v>6.189147267207938</v>
      </c>
      <c r="D21" s="156">
        <f t="shared" si="3"/>
        <v>6.189741808435833</v>
      </c>
      <c r="E21" s="155">
        <f t="shared" si="4"/>
        <v>0.026100866929905087</v>
      </c>
      <c r="F21" s="154">
        <f t="shared" si="5"/>
        <v>0</v>
      </c>
      <c r="G21" s="66">
        <v>7</v>
      </c>
      <c r="N21" s="152"/>
      <c r="O21" s="152"/>
      <c r="P21" s="152"/>
      <c r="Q21" s="152"/>
      <c r="R21" s="152"/>
      <c r="S21" s="152"/>
    </row>
    <row r="22" spans="1:19" ht="19.5" customHeight="1">
      <c r="A22" s="66">
        <f t="shared" si="0"/>
        <v>0</v>
      </c>
      <c r="B22" s="154">
        <f t="shared" si="1"/>
        <v>0.026100866929905087</v>
      </c>
      <c r="C22" s="155">
        <f t="shared" si="2"/>
        <v>6.189741808435833</v>
      </c>
      <c r="D22" s="156">
        <f t="shared" si="3"/>
        <v>6.189661179532029</v>
      </c>
      <c r="E22" s="155">
        <f t="shared" si="4"/>
        <v>0.026101546934168565</v>
      </c>
      <c r="F22" s="154">
        <f t="shared" si="5"/>
        <v>0</v>
      </c>
      <c r="G22" s="66">
        <v>8</v>
      </c>
      <c r="N22" s="152"/>
      <c r="O22" s="152"/>
      <c r="P22" s="152"/>
      <c r="Q22" s="152"/>
      <c r="R22" s="152"/>
      <c r="S22" s="152"/>
    </row>
    <row r="23" spans="1:19" ht="19.5" customHeight="1">
      <c r="A23" s="66">
        <f t="shared" si="0"/>
        <v>0</v>
      </c>
      <c r="B23" s="154">
        <f t="shared" si="1"/>
        <v>0.026101546934168565</v>
      </c>
      <c r="C23" s="155">
        <f t="shared" si="2"/>
        <v>6.189661179532029</v>
      </c>
      <c r="D23" s="156">
        <f t="shared" si="3"/>
        <v>6.189672113608613</v>
      </c>
      <c r="E23" s="155">
        <f t="shared" si="4"/>
        <v>0.026101454717309316</v>
      </c>
      <c r="F23" s="154">
        <f t="shared" si="5"/>
        <v>0</v>
      </c>
      <c r="G23" s="66">
        <v>9</v>
      </c>
      <c r="N23" s="152"/>
      <c r="O23" s="152"/>
      <c r="P23" s="152"/>
      <c r="Q23" s="152"/>
      <c r="R23" s="152"/>
      <c r="S23" s="152"/>
    </row>
    <row r="24" spans="1:19" ht="19.5" customHeight="1">
      <c r="A24" s="66">
        <f t="shared" si="0"/>
        <v>0</v>
      </c>
      <c r="B24" s="154">
        <f t="shared" si="1"/>
        <v>0.026101454717309316</v>
      </c>
      <c r="C24" s="155">
        <f t="shared" si="2"/>
        <v>6.189672113608613</v>
      </c>
      <c r="D24" s="156">
        <f t="shared" si="3"/>
        <v>6.189670630831649</v>
      </c>
      <c r="E24" s="155">
        <f t="shared" si="4"/>
        <v>0.026101467222866635</v>
      </c>
      <c r="F24" s="154">
        <f t="shared" si="5"/>
        <v>0</v>
      </c>
      <c r="G24" s="66">
        <v>10</v>
      </c>
      <c r="N24" s="152"/>
      <c r="O24" s="152"/>
      <c r="P24" s="152"/>
      <c r="Q24" s="152"/>
      <c r="R24" s="152"/>
      <c r="S24" s="152"/>
    </row>
    <row r="25" spans="1:19" ht="19.5" customHeight="1">
      <c r="A25" s="66">
        <f t="shared" si="0"/>
        <v>1</v>
      </c>
      <c r="B25" s="154">
        <f t="shared" si="1"/>
        <v>0.026101467222866635</v>
      </c>
      <c r="C25" s="155">
        <f t="shared" si="2"/>
        <v>6.189670630831649</v>
      </c>
      <c r="D25" s="156">
        <f t="shared" si="3"/>
        <v>6.189670831911812</v>
      </c>
      <c r="E25" s="155">
        <f t="shared" si="4"/>
        <v>0.026101465526980908</v>
      </c>
      <c r="F25" s="154">
        <f t="shared" si="5"/>
        <v>1</v>
      </c>
      <c r="G25" s="66">
        <v>11</v>
      </c>
      <c r="N25" s="152"/>
      <c r="O25" s="152"/>
      <c r="P25" s="152"/>
      <c r="Q25" s="152"/>
      <c r="R25" s="152"/>
      <c r="S25" s="152"/>
    </row>
    <row r="26" spans="1:19" ht="16.5" customHeight="1">
      <c r="A26" s="66">
        <f t="shared" si="0"/>
      </c>
      <c r="B26" s="8">
        <f aca="true" t="shared" si="6" ref="B26:B89">IF(F25="","",IF(F25=1,"",E25))</f>
      </c>
      <c r="C26" s="47">
        <f aca="true" t="shared" si="7" ref="C26:C89">IF(F25="","",IF(F25=1,"",D25))</f>
      </c>
      <c r="D26" s="9">
        <f aca="true" t="shared" si="8" ref="D26:D89">IF(F25="","",IF(F25=1,"",SQRT(1/(-2*LOG(($C$9/3.7)+(2.51/($C$10*SQRT(B26)))))^-2)))</f>
      </c>
      <c r="E26" s="48">
        <f aca="true" t="shared" si="9" ref="E26:E89">IF(F25="","",IF(F25=1,"",POWER((-2*LOG(($C$9/3.7)+(2.51/($C$10*SQRT(B26))))),-2)))</f>
      </c>
      <c r="F26" s="8">
        <f aca="true" t="shared" si="10" ref="F26:F89">IF(F25="","",IF(F25=1,"",IF((ABS(E26-B26)&lt;=0.00000001),1,0)))</f>
      </c>
      <c r="G26" s="66">
        <v>12</v>
      </c>
      <c r="N26" s="152"/>
      <c r="O26" s="152"/>
      <c r="P26" s="152"/>
      <c r="Q26" s="152"/>
      <c r="R26" s="152"/>
      <c r="S26" s="152"/>
    </row>
    <row r="27" spans="1:19" ht="12.75">
      <c r="A27" s="66">
        <f t="shared" si="0"/>
      </c>
      <c r="B27" s="8">
        <f t="shared" si="6"/>
      </c>
      <c r="C27" s="47">
        <f t="shared" si="7"/>
      </c>
      <c r="D27" s="9">
        <f t="shared" si="8"/>
      </c>
      <c r="E27" s="48">
        <f t="shared" si="9"/>
      </c>
      <c r="F27" s="8">
        <f t="shared" si="10"/>
      </c>
      <c r="G27" s="66">
        <v>13</v>
      </c>
      <c r="N27" s="152"/>
      <c r="O27" s="152"/>
      <c r="P27" s="152"/>
      <c r="Q27" s="152"/>
      <c r="R27" s="152"/>
      <c r="S27" s="152"/>
    </row>
    <row r="28" spans="1:19" ht="12.75">
      <c r="A28" s="66">
        <f t="shared" si="0"/>
      </c>
      <c r="B28" s="8">
        <f t="shared" si="6"/>
      </c>
      <c r="C28" s="47">
        <f t="shared" si="7"/>
      </c>
      <c r="D28" s="9">
        <f t="shared" si="8"/>
      </c>
      <c r="E28" s="48">
        <f t="shared" si="9"/>
      </c>
      <c r="F28" s="8">
        <f t="shared" si="10"/>
      </c>
      <c r="G28" s="66">
        <v>14</v>
      </c>
      <c r="N28" s="152"/>
      <c r="O28" s="152"/>
      <c r="P28" s="152"/>
      <c r="Q28" s="152"/>
      <c r="R28" s="152"/>
      <c r="S28" s="152"/>
    </row>
    <row r="29" spans="1:19" ht="12.75">
      <c r="A29" s="66">
        <f t="shared" si="0"/>
      </c>
      <c r="B29" s="8">
        <f t="shared" si="6"/>
      </c>
      <c r="C29" s="47">
        <f t="shared" si="7"/>
      </c>
      <c r="D29" s="9">
        <f t="shared" si="8"/>
      </c>
      <c r="E29" s="48">
        <f t="shared" si="9"/>
      </c>
      <c r="F29" s="8">
        <f t="shared" si="10"/>
      </c>
      <c r="G29" s="66">
        <v>15</v>
      </c>
      <c r="N29" s="152"/>
      <c r="O29" s="152"/>
      <c r="P29" s="152"/>
      <c r="Q29" s="152"/>
      <c r="R29" s="152"/>
      <c r="S29" s="152"/>
    </row>
    <row r="30" spans="1:19" ht="12.75" customHeight="1">
      <c r="A30" s="66">
        <f t="shared" si="0"/>
      </c>
      <c r="B30" s="8">
        <f t="shared" si="6"/>
      </c>
      <c r="C30" s="47">
        <f t="shared" si="7"/>
      </c>
      <c r="D30" s="9">
        <f t="shared" si="8"/>
      </c>
      <c r="E30" s="48">
        <f t="shared" si="9"/>
      </c>
      <c r="F30" s="8">
        <f t="shared" si="10"/>
      </c>
      <c r="N30" s="152"/>
      <c r="O30" s="152"/>
      <c r="P30" s="152"/>
      <c r="Q30" s="152"/>
      <c r="R30" s="152"/>
      <c r="S30" s="152"/>
    </row>
    <row r="31" spans="1:19" ht="13.5" customHeight="1">
      <c r="A31" s="66">
        <f t="shared" si="0"/>
      </c>
      <c r="B31" s="8">
        <f t="shared" si="6"/>
      </c>
      <c r="C31" s="47">
        <f t="shared" si="7"/>
      </c>
      <c r="D31" s="9">
        <f t="shared" si="8"/>
      </c>
      <c r="E31" s="48">
        <f t="shared" si="9"/>
      </c>
      <c r="F31" s="8">
        <f t="shared" si="10"/>
      </c>
      <c r="N31" s="152"/>
      <c r="O31" s="152"/>
      <c r="P31" s="152"/>
      <c r="Q31" s="152"/>
      <c r="R31" s="152"/>
      <c r="S31" s="152"/>
    </row>
    <row r="32" spans="1:19" ht="12.75">
      <c r="A32" s="66">
        <f t="shared" si="0"/>
      </c>
      <c r="B32" s="8">
        <f t="shared" si="6"/>
      </c>
      <c r="C32" s="47">
        <f t="shared" si="7"/>
      </c>
      <c r="D32" s="9">
        <f t="shared" si="8"/>
      </c>
      <c r="E32" s="48">
        <f t="shared" si="9"/>
      </c>
      <c r="F32" s="8">
        <f t="shared" si="10"/>
      </c>
      <c r="N32" s="152"/>
      <c r="O32" s="152"/>
      <c r="P32" s="152"/>
      <c r="Q32" s="152"/>
      <c r="R32" s="152"/>
      <c r="S32" s="152"/>
    </row>
    <row r="33" spans="1:19" ht="12.75">
      <c r="A33" s="66">
        <f t="shared" si="0"/>
      </c>
      <c r="B33" s="8">
        <f t="shared" si="6"/>
      </c>
      <c r="C33" s="47">
        <f t="shared" si="7"/>
      </c>
      <c r="D33" s="9">
        <f t="shared" si="8"/>
      </c>
      <c r="E33" s="48">
        <f t="shared" si="9"/>
      </c>
      <c r="F33" s="8">
        <f t="shared" si="10"/>
      </c>
      <c r="N33" s="152"/>
      <c r="O33" s="152"/>
      <c r="P33" s="152"/>
      <c r="Q33" s="152"/>
      <c r="R33" s="152"/>
      <c r="S33" s="152"/>
    </row>
    <row r="34" spans="1:19" ht="12.75">
      <c r="A34" s="66">
        <f t="shared" si="0"/>
      </c>
      <c r="B34" s="8">
        <f t="shared" si="6"/>
      </c>
      <c r="C34" s="47">
        <f t="shared" si="7"/>
      </c>
      <c r="D34" s="9">
        <f t="shared" si="8"/>
      </c>
      <c r="E34" s="48">
        <f t="shared" si="9"/>
      </c>
      <c r="F34" s="8">
        <f t="shared" si="10"/>
      </c>
      <c r="N34" s="152"/>
      <c r="O34" s="152"/>
      <c r="P34" s="152"/>
      <c r="Q34" s="152"/>
      <c r="R34" s="152"/>
      <c r="S34" s="152"/>
    </row>
    <row r="35" spans="1:6" ht="12.75">
      <c r="A35" s="66">
        <f t="shared" si="0"/>
      </c>
      <c r="B35" s="8">
        <f t="shared" si="6"/>
      </c>
      <c r="C35" s="47">
        <f t="shared" si="7"/>
      </c>
      <c r="D35" s="9">
        <f t="shared" si="8"/>
      </c>
      <c r="E35" s="48">
        <f t="shared" si="9"/>
      </c>
      <c r="F35" s="8">
        <f t="shared" si="10"/>
      </c>
    </row>
    <row r="36" spans="1:6" ht="12.75">
      <c r="A36" s="66">
        <f t="shared" si="0"/>
      </c>
      <c r="B36" s="8">
        <f t="shared" si="6"/>
      </c>
      <c r="C36" s="47">
        <f t="shared" si="7"/>
      </c>
      <c r="D36" s="9">
        <f t="shared" si="8"/>
      </c>
      <c r="E36" s="48">
        <f t="shared" si="9"/>
      </c>
      <c r="F36" s="8">
        <f t="shared" si="10"/>
      </c>
    </row>
    <row r="37" spans="1:6" ht="12.75">
      <c r="A37" s="66">
        <f t="shared" si="0"/>
      </c>
      <c r="B37" s="8">
        <f t="shared" si="6"/>
      </c>
      <c r="C37" s="47">
        <f t="shared" si="7"/>
      </c>
      <c r="D37" s="9">
        <f t="shared" si="8"/>
      </c>
      <c r="E37" s="48">
        <f t="shared" si="9"/>
      </c>
      <c r="F37" s="8">
        <f t="shared" si="10"/>
      </c>
    </row>
    <row r="38" spans="1:6" ht="12.75">
      <c r="A38" s="66">
        <f t="shared" si="0"/>
      </c>
      <c r="B38" s="8">
        <f t="shared" si="6"/>
      </c>
      <c r="C38" s="47">
        <f t="shared" si="7"/>
      </c>
      <c r="D38" s="9">
        <f t="shared" si="8"/>
      </c>
      <c r="E38" s="48">
        <f t="shared" si="9"/>
      </c>
      <c r="F38" s="8">
        <f t="shared" si="10"/>
      </c>
    </row>
    <row r="39" spans="1:6" ht="12.75">
      <c r="A39" s="66">
        <f t="shared" si="0"/>
      </c>
      <c r="B39" s="8">
        <f t="shared" si="6"/>
      </c>
      <c r="C39" s="47">
        <f t="shared" si="7"/>
      </c>
      <c r="D39" s="9">
        <f t="shared" si="8"/>
      </c>
      <c r="E39" s="48">
        <f t="shared" si="9"/>
      </c>
      <c r="F39" s="8">
        <f t="shared" si="10"/>
      </c>
    </row>
    <row r="40" spans="1:6" ht="12.75">
      <c r="A40" s="66">
        <f t="shared" si="0"/>
      </c>
      <c r="B40" s="8">
        <f t="shared" si="6"/>
      </c>
      <c r="C40" s="47">
        <f t="shared" si="7"/>
      </c>
      <c r="D40" s="9">
        <f t="shared" si="8"/>
      </c>
      <c r="E40" s="48">
        <f t="shared" si="9"/>
      </c>
      <c r="F40" s="8">
        <f t="shared" si="10"/>
      </c>
    </row>
    <row r="41" spans="1:8" ht="12.75">
      <c r="A41" s="66">
        <f t="shared" si="0"/>
      </c>
      <c r="B41" s="8">
        <f t="shared" si="6"/>
      </c>
      <c r="C41" s="47">
        <f t="shared" si="7"/>
      </c>
      <c r="D41" s="9">
        <f t="shared" si="8"/>
      </c>
      <c r="E41" s="48">
        <f t="shared" si="9"/>
      </c>
      <c r="F41" s="8">
        <f t="shared" si="10"/>
      </c>
      <c r="G41" s="2"/>
      <c r="H41" s="2"/>
    </row>
    <row r="42" spans="1:6" ht="12.75">
      <c r="A42" s="66">
        <f t="shared" si="0"/>
      </c>
      <c r="B42" s="8">
        <f t="shared" si="6"/>
      </c>
      <c r="C42" s="47">
        <f t="shared" si="7"/>
      </c>
      <c r="D42" s="9">
        <f t="shared" si="8"/>
      </c>
      <c r="E42" s="48">
        <f t="shared" si="9"/>
      </c>
      <c r="F42" s="8">
        <f t="shared" si="10"/>
      </c>
    </row>
    <row r="43" spans="1:6" ht="12.75">
      <c r="A43" s="66">
        <f t="shared" si="0"/>
      </c>
      <c r="B43" s="8">
        <f t="shared" si="6"/>
      </c>
      <c r="C43" s="47">
        <f t="shared" si="7"/>
      </c>
      <c r="D43" s="9">
        <f t="shared" si="8"/>
      </c>
      <c r="E43" s="48">
        <f t="shared" si="9"/>
      </c>
      <c r="F43" s="8">
        <f t="shared" si="10"/>
      </c>
    </row>
    <row r="44" spans="1:6" ht="12.75">
      <c r="A44" s="66">
        <f t="shared" si="0"/>
      </c>
      <c r="B44" s="8">
        <f t="shared" si="6"/>
      </c>
      <c r="C44" s="47">
        <f t="shared" si="7"/>
      </c>
      <c r="D44" s="9">
        <f t="shared" si="8"/>
      </c>
      <c r="E44" s="48">
        <f t="shared" si="9"/>
      </c>
      <c r="F44" s="8">
        <f t="shared" si="10"/>
      </c>
    </row>
    <row r="45" spans="1:6" ht="12.75">
      <c r="A45" s="66">
        <f t="shared" si="0"/>
      </c>
      <c r="B45" s="8">
        <f t="shared" si="6"/>
      </c>
      <c r="C45" s="47">
        <f t="shared" si="7"/>
      </c>
      <c r="D45" s="9">
        <f t="shared" si="8"/>
      </c>
      <c r="E45" s="48">
        <f t="shared" si="9"/>
      </c>
      <c r="F45" s="8">
        <f t="shared" si="10"/>
      </c>
    </row>
    <row r="46" spans="1:6" ht="12.75">
      <c r="A46" s="66">
        <f t="shared" si="0"/>
      </c>
      <c r="B46" s="8">
        <f t="shared" si="6"/>
      </c>
      <c r="C46" s="47">
        <f t="shared" si="7"/>
      </c>
      <c r="D46" s="9">
        <f t="shared" si="8"/>
      </c>
      <c r="E46" s="48">
        <f t="shared" si="9"/>
      </c>
      <c r="F46" s="8">
        <f t="shared" si="10"/>
      </c>
    </row>
    <row r="47" spans="1:6" ht="12.75">
      <c r="A47" s="66">
        <f t="shared" si="0"/>
      </c>
      <c r="B47" s="8">
        <f t="shared" si="6"/>
      </c>
      <c r="C47" s="47">
        <f t="shared" si="7"/>
      </c>
      <c r="D47" s="9">
        <f t="shared" si="8"/>
      </c>
      <c r="E47" s="48">
        <f t="shared" si="9"/>
      </c>
      <c r="F47" s="8">
        <f t="shared" si="10"/>
      </c>
    </row>
    <row r="48" spans="1:6" ht="12.75">
      <c r="A48" s="66">
        <f t="shared" si="0"/>
      </c>
      <c r="B48" s="8">
        <f t="shared" si="6"/>
      </c>
      <c r="C48" s="47">
        <f t="shared" si="7"/>
      </c>
      <c r="D48" s="9">
        <f t="shared" si="8"/>
      </c>
      <c r="E48" s="48">
        <f t="shared" si="9"/>
      </c>
      <c r="F48" s="8">
        <f t="shared" si="10"/>
      </c>
    </row>
    <row r="49" spans="1:6" ht="12.75">
      <c r="A49" s="66">
        <f t="shared" si="0"/>
      </c>
      <c r="B49" s="8">
        <f t="shared" si="6"/>
      </c>
      <c r="C49" s="47">
        <f t="shared" si="7"/>
      </c>
      <c r="D49" s="9">
        <f t="shared" si="8"/>
      </c>
      <c r="E49" s="48">
        <f t="shared" si="9"/>
      </c>
      <c r="F49" s="8">
        <f t="shared" si="10"/>
      </c>
    </row>
    <row r="50" spans="1:6" ht="12.75">
      <c r="A50" s="66">
        <f t="shared" si="0"/>
      </c>
      <c r="B50" s="8">
        <f t="shared" si="6"/>
      </c>
      <c r="C50" s="47">
        <f t="shared" si="7"/>
      </c>
      <c r="D50" s="9">
        <f t="shared" si="8"/>
      </c>
      <c r="E50" s="48">
        <f t="shared" si="9"/>
      </c>
      <c r="F50" s="8">
        <f t="shared" si="10"/>
      </c>
    </row>
    <row r="51" spans="1:6" ht="12.75">
      <c r="A51" s="66">
        <f t="shared" si="0"/>
      </c>
      <c r="B51" s="8">
        <f t="shared" si="6"/>
      </c>
      <c r="C51" s="47">
        <f t="shared" si="7"/>
      </c>
      <c r="D51" s="9">
        <f t="shared" si="8"/>
      </c>
      <c r="E51" s="48">
        <f t="shared" si="9"/>
      </c>
      <c r="F51" s="8">
        <f t="shared" si="10"/>
      </c>
    </row>
    <row r="52" spans="1:6" ht="12.75">
      <c r="A52" s="66">
        <f t="shared" si="0"/>
      </c>
      <c r="B52" s="8">
        <f t="shared" si="6"/>
      </c>
      <c r="C52" s="47">
        <f t="shared" si="7"/>
      </c>
      <c r="D52" s="9">
        <f t="shared" si="8"/>
      </c>
      <c r="E52" s="48">
        <f t="shared" si="9"/>
      </c>
      <c r="F52" s="8">
        <f t="shared" si="10"/>
      </c>
    </row>
    <row r="53" spans="1:6" ht="12.75">
      <c r="A53" s="66">
        <f t="shared" si="0"/>
      </c>
      <c r="B53" s="8">
        <f t="shared" si="6"/>
      </c>
      <c r="C53" s="47">
        <f t="shared" si="7"/>
      </c>
      <c r="D53" s="9">
        <f t="shared" si="8"/>
      </c>
      <c r="E53" s="48">
        <f t="shared" si="9"/>
      </c>
      <c r="F53" s="8">
        <f t="shared" si="10"/>
      </c>
    </row>
    <row r="54" spans="1:6" ht="12.75">
      <c r="A54" s="66">
        <f t="shared" si="0"/>
      </c>
      <c r="B54" s="8">
        <f t="shared" si="6"/>
      </c>
      <c r="C54" s="47">
        <f t="shared" si="7"/>
      </c>
      <c r="D54" s="9">
        <f t="shared" si="8"/>
      </c>
      <c r="E54" s="48">
        <f t="shared" si="9"/>
      </c>
      <c r="F54" s="8">
        <f t="shared" si="10"/>
      </c>
    </row>
    <row r="55" spans="1:6" ht="12.75">
      <c r="A55" s="66">
        <f t="shared" si="0"/>
      </c>
      <c r="B55" s="8">
        <f t="shared" si="6"/>
      </c>
      <c r="C55" s="47">
        <f t="shared" si="7"/>
      </c>
      <c r="D55" s="9">
        <f t="shared" si="8"/>
      </c>
      <c r="E55" s="48">
        <f t="shared" si="9"/>
      </c>
      <c r="F55" s="8">
        <f t="shared" si="10"/>
      </c>
    </row>
    <row r="56" spans="1:6" ht="12.75">
      <c r="A56" s="66">
        <f t="shared" si="0"/>
      </c>
      <c r="B56" s="8">
        <f t="shared" si="6"/>
      </c>
      <c r="C56" s="47">
        <f t="shared" si="7"/>
      </c>
      <c r="D56" s="9">
        <f t="shared" si="8"/>
      </c>
      <c r="E56" s="48">
        <f t="shared" si="9"/>
      </c>
      <c r="F56" s="8">
        <f t="shared" si="10"/>
      </c>
    </row>
    <row r="57" spans="1:6" ht="12.75">
      <c r="A57" s="66">
        <f t="shared" si="0"/>
      </c>
      <c r="B57" s="8">
        <f t="shared" si="6"/>
      </c>
      <c r="C57" s="47">
        <f t="shared" si="7"/>
      </c>
      <c r="D57" s="9">
        <f t="shared" si="8"/>
      </c>
      <c r="E57" s="48">
        <f t="shared" si="9"/>
      </c>
      <c r="F57" s="8">
        <f t="shared" si="10"/>
      </c>
    </row>
    <row r="58" spans="1:6" ht="12.75">
      <c r="A58" s="66">
        <f t="shared" si="0"/>
      </c>
      <c r="B58" s="8">
        <f t="shared" si="6"/>
      </c>
      <c r="C58" s="47">
        <f t="shared" si="7"/>
      </c>
      <c r="D58" s="9">
        <f t="shared" si="8"/>
      </c>
      <c r="E58" s="48">
        <f t="shared" si="9"/>
      </c>
      <c r="F58" s="8">
        <f t="shared" si="10"/>
      </c>
    </row>
    <row r="59" spans="1:6" ht="12.75">
      <c r="A59" s="66">
        <f t="shared" si="0"/>
      </c>
      <c r="B59" s="8">
        <f t="shared" si="6"/>
      </c>
      <c r="C59" s="47">
        <f t="shared" si="7"/>
      </c>
      <c r="D59" s="9">
        <f t="shared" si="8"/>
      </c>
      <c r="E59" s="48">
        <f t="shared" si="9"/>
      </c>
      <c r="F59" s="8">
        <f t="shared" si="10"/>
      </c>
    </row>
    <row r="60" spans="1:6" ht="12.75">
      <c r="A60" s="66">
        <f t="shared" si="0"/>
      </c>
      <c r="B60" s="8">
        <f t="shared" si="6"/>
      </c>
      <c r="C60" s="47">
        <f t="shared" si="7"/>
      </c>
      <c r="D60" s="9">
        <f t="shared" si="8"/>
      </c>
      <c r="E60" s="48">
        <f t="shared" si="9"/>
      </c>
      <c r="F60" s="8">
        <f t="shared" si="10"/>
      </c>
    </row>
    <row r="61" spans="1:6" ht="12.75">
      <c r="A61" s="66">
        <f t="shared" si="0"/>
      </c>
      <c r="B61" s="8">
        <f t="shared" si="6"/>
      </c>
      <c r="C61" s="47">
        <f t="shared" si="7"/>
      </c>
      <c r="D61" s="9">
        <f t="shared" si="8"/>
      </c>
      <c r="E61" s="48">
        <f t="shared" si="9"/>
      </c>
      <c r="F61" s="8">
        <f t="shared" si="10"/>
      </c>
    </row>
    <row r="62" spans="1:6" ht="12.75">
      <c r="A62" s="66">
        <f t="shared" si="0"/>
      </c>
      <c r="B62" s="8">
        <f t="shared" si="6"/>
      </c>
      <c r="C62" s="47">
        <f t="shared" si="7"/>
      </c>
      <c r="D62" s="9">
        <f t="shared" si="8"/>
      </c>
      <c r="E62" s="48">
        <f t="shared" si="9"/>
      </c>
      <c r="F62" s="8">
        <f t="shared" si="10"/>
      </c>
    </row>
    <row r="63" spans="1:6" ht="12.75">
      <c r="A63" s="66">
        <f t="shared" si="0"/>
      </c>
      <c r="B63" s="8">
        <f t="shared" si="6"/>
      </c>
      <c r="C63" s="47">
        <f t="shared" si="7"/>
      </c>
      <c r="D63" s="9">
        <f t="shared" si="8"/>
      </c>
      <c r="E63" s="48">
        <f t="shared" si="9"/>
      </c>
      <c r="F63" s="8">
        <f t="shared" si="10"/>
      </c>
    </row>
    <row r="64" spans="1:6" ht="12.75">
      <c r="A64" s="66">
        <f t="shared" si="0"/>
      </c>
      <c r="B64" s="8">
        <f t="shared" si="6"/>
      </c>
      <c r="C64" s="47">
        <f t="shared" si="7"/>
      </c>
      <c r="D64" s="9">
        <f t="shared" si="8"/>
      </c>
      <c r="E64" s="48">
        <f t="shared" si="9"/>
      </c>
      <c r="F64" s="8">
        <f t="shared" si="10"/>
      </c>
    </row>
    <row r="65" spans="1:6" ht="12.75">
      <c r="A65" s="66">
        <f t="shared" si="0"/>
      </c>
      <c r="B65" s="8">
        <f t="shared" si="6"/>
      </c>
      <c r="C65" s="47">
        <f t="shared" si="7"/>
      </c>
      <c r="D65" s="9">
        <f t="shared" si="8"/>
      </c>
      <c r="E65" s="48">
        <f t="shared" si="9"/>
      </c>
      <c r="F65" s="8">
        <f t="shared" si="10"/>
      </c>
    </row>
    <row r="66" spans="1:6" ht="12.75">
      <c r="A66" s="66">
        <f t="shared" si="0"/>
      </c>
      <c r="B66" s="8">
        <f t="shared" si="6"/>
      </c>
      <c r="C66" s="47">
        <f t="shared" si="7"/>
      </c>
      <c r="D66" s="9">
        <f t="shared" si="8"/>
      </c>
      <c r="E66" s="48">
        <f t="shared" si="9"/>
      </c>
      <c r="F66" s="8">
        <f t="shared" si="10"/>
      </c>
    </row>
    <row r="67" spans="1:6" ht="12.75">
      <c r="A67" s="66">
        <f t="shared" si="0"/>
      </c>
      <c r="B67" s="8">
        <f t="shared" si="6"/>
      </c>
      <c r="C67" s="47">
        <f t="shared" si="7"/>
      </c>
      <c r="D67" s="9">
        <f t="shared" si="8"/>
      </c>
      <c r="E67" s="48">
        <f t="shared" si="9"/>
      </c>
      <c r="F67" s="8">
        <f t="shared" si="10"/>
      </c>
    </row>
    <row r="68" spans="1:6" ht="12.75">
      <c r="A68" s="66">
        <f t="shared" si="0"/>
      </c>
      <c r="B68" s="8">
        <f t="shared" si="6"/>
      </c>
      <c r="C68" s="47">
        <f t="shared" si="7"/>
      </c>
      <c r="D68" s="9">
        <f t="shared" si="8"/>
      </c>
      <c r="E68" s="48">
        <f t="shared" si="9"/>
      </c>
      <c r="F68" s="8">
        <f t="shared" si="10"/>
      </c>
    </row>
    <row r="69" spans="1:6" ht="12.75">
      <c r="A69" s="66">
        <f t="shared" si="0"/>
      </c>
      <c r="B69" s="8">
        <f t="shared" si="6"/>
      </c>
      <c r="C69" s="47">
        <f t="shared" si="7"/>
      </c>
      <c r="D69" s="9">
        <f t="shared" si="8"/>
      </c>
      <c r="E69" s="48">
        <f t="shared" si="9"/>
      </c>
      <c r="F69" s="8">
        <f t="shared" si="10"/>
      </c>
    </row>
    <row r="70" spans="1:6" ht="12.75">
      <c r="A70" s="66">
        <f t="shared" si="0"/>
      </c>
      <c r="B70" s="8">
        <f t="shared" si="6"/>
      </c>
      <c r="C70" s="47">
        <f t="shared" si="7"/>
      </c>
      <c r="D70" s="9">
        <f t="shared" si="8"/>
      </c>
      <c r="E70" s="48">
        <f t="shared" si="9"/>
      </c>
      <c r="F70" s="8">
        <f t="shared" si="10"/>
      </c>
    </row>
    <row r="71" spans="1:6" ht="12.75">
      <c r="A71" s="66">
        <f t="shared" si="0"/>
      </c>
      <c r="B71" s="8">
        <f t="shared" si="6"/>
      </c>
      <c r="C71" s="47">
        <f t="shared" si="7"/>
      </c>
      <c r="D71" s="9">
        <f t="shared" si="8"/>
      </c>
      <c r="E71" s="48">
        <f t="shared" si="9"/>
      </c>
      <c r="F71" s="8">
        <f t="shared" si="10"/>
      </c>
    </row>
    <row r="72" spans="1:6" ht="12.75">
      <c r="A72" s="66">
        <f t="shared" si="0"/>
      </c>
      <c r="B72" s="8">
        <f t="shared" si="6"/>
      </c>
      <c r="C72" s="47">
        <f t="shared" si="7"/>
      </c>
      <c r="D72" s="9">
        <f t="shared" si="8"/>
      </c>
      <c r="E72" s="48">
        <f t="shared" si="9"/>
      </c>
      <c r="F72" s="8">
        <f t="shared" si="10"/>
      </c>
    </row>
    <row r="73" spans="1:6" ht="12.75">
      <c r="A73" s="66">
        <f t="shared" si="0"/>
      </c>
      <c r="B73" s="8">
        <f t="shared" si="6"/>
      </c>
      <c r="C73" s="47">
        <f t="shared" si="7"/>
      </c>
      <c r="D73" s="9">
        <f t="shared" si="8"/>
      </c>
      <c r="E73" s="48">
        <f t="shared" si="9"/>
      </c>
      <c r="F73" s="8">
        <f t="shared" si="10"/>
      </c>
    </row>
    <row r="74" spans="1:6" ht="12.75">
      <c r="A74" s="66">
        <f t="shared" si="0"/>
      </c>
      <c r="B74" s="8">
        <f t="shared" si="6"/>
      </c>
      <c r="C74" s="47">
        <f t="shared" si="7"/>
      </c>
      <c r="D74" s="9">
        <f t="shared" si="8"/>
      </c>
      <c r="E74" s="48">
        <f t="shared" si="9"/>
      </c>
      <c r="F74" s="8">
        <f t="shared" si="10"/>
      </c>
    </row>
    <row r="75" spans="1:6" ht="12.75">
      <c r="A75" s="66">
        <f t="shared" si="0"/>
      </c>
      <c r="B75" s="8">
        <f t="shared" si="6"/>
      </c>
      <c r="C75" s="47">
        <f t="shared" si="7"/>
      </c>
      <c r="D75" s="9">
        <f t="shared" si="8"/>
      </c>
      <c r="E75" s="48">
        <f t="shared" si="9"/>
      </c>
      <c r="F75" s="8">
        <f t="shared" si="10"/>
      </c>
    </row>
    <row r="76" spans="1:6" ht="12.75">
      <c r="A76" s="66">
        <f t="shared" si="0"/>
      </c>
      <c r="B76" s="8">
        <f t="shared" si="6"/>
      </c>
      <c r="C76" s="47">
        <f t="shared" si="7"/>
      </c>
      <c r="D76" s="9">
        <f t="shared" si="8"/>
      </c>
      <c r="E76" s="48">
        <f t="shared" si="9"/>
      </c>
      <c r="F76" s="8">
        <f t="shared" si="10"/>
      </c>
    </row>
    <row r="77" spans="1:6" ht="12.75">
      <c r="A77" s="66">
        <f t="shared" si="0"/>
      </c>
      <c r="B77" s="8">
        <f t="shared" si="6"/>
      </c>
      <c r="C77" s="47">
        <f t="shared" si="7"/>
      </c>
      <c r="D77" s="9">
        <f t="shared" si="8"/>
      </c>
      <c r="E77" s="48">
        <f t="shared" si="9"/>
      </c>
      <c r="F77" s="8">
        <f t="shared" si="10"/>
      </c>
    </row>
    <row r="78" spans="1:6" ht="12.75">
      <c r="A78" s="66">
        <f t="shared" si="0"/>
      </c>
      <c r="B78" s="8">
        <f t="shared" si="6"/>
      </c>
      <c r="C78" s="47">
        <f t="shared" si="7"/>
      </c>
      <c r="D78" s="9">
        <f t="shared" si="8"/>
      </c>
      <c r="E78" s="48">
        <f t="shared" si="9"/>
      </c>
      <c r="F78" s="8">
        <f t="shared" si="10"/>
      </c>
    </row>
    <row r="79" spans="1:6" ht="12.75">
      <c r="A79" s="66">
        <f t="shared" si="0"/>
      </c>
      <c r="B79" s="8">
        <f t="shared" si="6"/>
      </c>
      <c r="C79" s="47">
        <f t="shared" si="7"/>
      </c>
      <c r="D79" s="9">
        <f t="shared" si="8"/>
      </c>
      <c r="E79" s="48">
        <f t="shared" si="9"/>
      </c>
      <c r="F79" s="8">
        <f t="shared" si="10"/>
      </c>
    </row>
    <row r="80" spans="1:6" ht="12.75">
      <c r="A80" s="66">
        <f t="shared" si="0"/>
      </c>
      <c r="B80" s="8">
        <f t="shared" si="6"/>
      </c>
      <c r="C80" s="47">
        <f t="shared" si="7"/>
      </c>
      <c r="D80" s="9">
        <f t="shared" si="8"/>
      </c>
      <c r="E80" s="48">
        <f t="shared" si="9"/>
      </c>
      <c r="F80" s="8">
        <f t="shared" si="10"/>
      </c>
    </row>
    <row r="81" spans="1:6" ht="12.75">
      <c r="A81" s="66">
        <f aca="true" t="shared" si="11" ref="A81:A92">F81</f>
      </c>
      <c r="B81" s="8">
        <f t="shared" si="6"/>
      </c>
      <c r="C81" s="47">
        <f t="shared" si="7"/>
      </c>
      <c r="D81" s="9">
        <f t="shared" si="8"/>
      </c>
      <c r="E81" s="48">
        <f t="shared" si="9"/>
      </c>
      <c r="F81" s="8">
        <f t="shared" si="10"/>
      </c>
    </row>
    <row r="82" spans="1:6" ht="12.75">
      <c r="A82" s="66">
        <f t="shared" si="11"/>
      </c>
      <c r="B82" s="8">
        <f t="shared" si="6"/>
      </c>
      <c r="C82" s="47">
        <f t="shared" si="7"/>
      </c>
      <c r="D82" s="9">
        <f t="shared" si="8"/>
      </c>
      <c r="E82" s="48">
        <f t="shared" si="9"/>
      </c>
      <c r="F82" s="8">
        <f t="shared" si="10"/>
      </c>
    </row>
    <row r="83" spans="1:6" ht="12.75">
      <c r="A83" s="66">
        <f t="shared" si="11"/>
      </c>
      <c r="B83" s="8">
        <f t="shared" si="6"/>
      </c>
      <c r="C83" s="47">
        <f t="shared" si="7"/>
      </c>
      <c r="D83" s="9">
        <f t="shared" si="8"/>
      </c>
      <c r="E83" s="48">
        <f t="shared" si="9"/>
      </c>
      <c r="F83" s="8">
        <f t="shared" si="10"/>
      </c>
    </row>
    <row r="84" spans="1:6" ht="12.75">
      <c r="A84" s="66">
        <f t="shared" si="11"/>
      </c>
      <c r="B84" s="8">
        <f t="shared" si="6"/>
      </c>
      <c r="C84" s="47">
        <f t="shared" si="7"/>
      </c>
      <c r="D84" s="9">
        <f t="shared" si="8"/>
      </c>
      <c r="E84" s="48">
        <f t="shared" si="9"/>
      </c>
      <c r="F84" s="8">
        <f t="shared" si="10"/>
      </c>
    </row>
    <row r="85" spans="1:6" ht="12.75">
      <c r="A85" s="66">
        <f t="shared" si="11"/>
      </c>
      <c r="B85" s="8">
        <f t="shared" si="6"/>
      </c>
      <c r="C85" s="47">
        <f t="shared" si="7"/>
      </c>
      <c r="D85" s="9">
        <f t="shared" si="8"/>
      </c>
      <c r="E85" s="48">
        <f t="shared" si="9"/>
      </c>
      <c r="F85" s="8">
        <f t="shared" si="10"/>
      </c>
    </row>
    <row r="86" spans="1:6" ht="12.75">
      <c r="A86" s="66">
        <f t="shared" si="11"/>
      </c>
      <c r="B86" s="8">
        <f t="shared" si="6"/>
      </c>
      <c r="C86" s="47">
        <f t="shared" si="7"/>
      </c>
      <c r="D86" s="9">
        <f t="shared" si="8"/>
      </c>
      <c r="E86" s="48">
        <f t="shared" si="9"/>
      </c>
      <c r="F86" s="8">
        <f t="shared" si="10"/>
      </c>
    </row>
    <row r="87" spans="1:6" ht="12.75">
      <c r="A87" s="66">
        <f t="shared" si="11"/>
      </c>
      <c r="B87" s="8">
        <f t="shared" si="6"/>
      </c>
      <c r="C87" s="47">
        <f t="shared" si="7"/>
      </c>
      <c r="D87" s="9">
        <f t="shared" si="8"/>
      </c>
      <c r="E87" s="48">
        <f t="shared" si="9"/>
      </c>
      <c r="F87" s="8">
        <f t="shared" si="10"/>
      </c>
    </row>
    <row r="88" spans="1:6" ht="12.75">
      <c r="A88" s="66">
        <f t="shared" si="11"/>
      </c>
      <c r="B88" s="8">
        <f t="shared" si="6"/>
      </c>
      <c r="C88" s="47">
        <f t="shared" si="7"/>
      </c>
      <c r="D88" s="9">
        <f t="shared" si="8"/>
      </c>
      <c r="E88" s="48">
        <f t="shared" si="9"/>
      </c>
      <c r="F88" s="8">
        <f t="shared" si="10"/>
      </c>
    </row>
    <row r="89" spans="1:6" ht="12.75">
      <c r="A89" s="66">
        <f t="shared" si="11"/>
      </c>
      <c r="B89" s="8">
        <f t="shared" si="6"/>
      </c>
      <c r="C89" s="47">
        <f t="shared" si="7"/>
      </c>
      <c r="D89" s="9">
        <f t="shared" si="8"/>
      </c>
      <c r="E89" s="48">
        <f t="shared" si="9"/>
      </c>
      <c r="F89" s="8">
        <f t="shared" si="10"/>
      </c>
    </row>
    <row r="90" spans="1:6" ht="12.75">
      <c r="A90" s="66">
        <f t="shared" si="11"/>
      </c>
      <c r="B90" s="8">
        <f aca="true" t="shared" si="12" ref="B90:B153">IF(F89="","",IF(F89=1,"",E89))</f>
      </c>
      <c r="C90" s="47">
        <f aca="true" t="shared" si="13" ref="C90:C153">IF(F89="","",IF(F89=1,"",D89))</f>
      </c>
      <c r="D90" s="9">
        <f aca="true" t="shared" si="14" ref="D90:D153">IF(F89="","",IF(F89=1,"",SQRT(1/(-2*LOG(($C$9/3.7)+(2.51/($C$10*SQRT(B90)))))^-2)))</f>
      </c>
      <c r="E90" s="48">
        <f aca="true" t="shared" si="15" ref="E90:E153">IF(F89="","",IF(F89=1,"",POWER((-2*LOG(($C$9/3.7)+(2.51/($C$10*SQRT(B90))))),-2)))</f>
      </c>
      <c r="F90" s="8">
        <f aca="true" t="shared" si="16" ref="F90:F153">IF(F89="","",IF(F89=1,"",IF((ABS(E90-B90)&lt;=0.00000001),1,0)))</f>
      </c>
    </row>
    <row r="91" spans="1:6" ht="12.75">
      <c r="A91" s="66">
        <f t="shared" si="11"/>
      </c>
      <c r="B91" s="8">
        <f t="shared" si="12"/>
      </c>
      <c r="C91" s="47">
        <f t="shared" si="13"/>
      </c>
      <c r="D91" s="9">
        <f t="shared" si="14"/>
      </c>
      <c r="E91" s="48">
        <f t="shared" si="15"/>
      </c>
      <c r="F91" s="8">
        <f t="shared" si="16"/>
      </c>
    </row>
    <row r="92" spans="1:6" ht="12.75">
      <c r="A92" s="66">
        <f t="shared" si="11"/>
      </c>
      <c r="B92" s="8">
        <f t="shared" si="12"/>
      </c>
      <c r="C92" s="47">
        <f t="shared" si="13"/>
      </c>
      <c r="D92" s="9">
        <f t="shared" si="14"/>
      </c>
      <c r="E92" s="48">
        <f t="shared" si="15"/>
      </c>
      <c r="F92" s="8">
        <f t="shared" si="16"/>
      </c>
    </row>
    <row r="93" spans="1:6" ht="12.75">
      <c r="A93" s="66">
        <f aca="true" t="shared" si="17" ref="A93:A153">F93</f>
      </c>
      <c r="B93" s="8">
        <f t="shared" si="12"/>
      </c>
      <c r="C93" s="47">
        <f t="shared" si="13"/>
      </c>
      <c r="D93" s="9">
        <f t="shared" si="14"/>
      </c>
      <c r="E93" s="48">
        <f t="shared" si="15"/>
      </c>
      <c r="F93" s="8">
        <f t="shared" si="16"/>
      </c>
    </row>
    <row r="94" spans="1:6" ht="12.75">
      <c r="A94" s="66">
        <f t="shared" si="17"/>
      </c>
      <c r="B94" s="8">
        <f t="shared" si="12"/>
      </c>
      <c r="C94" s="47">
        <f t="shared" si="13"/>
      </c>
      <c r="D94" s="9">
        <f t="shared" si="14"/>
      </c>
      <c r="E94" s="48">
        <f t="shared" si="15"/>
      </c>
      <c r="F94" s="8">
        <f t="shared" si="16"/>
      </c>
    </row>
    <row r="95" spans="1:6" ht="12.75">
      <c r="A95" s="66">
        <f t="shared" si="17"/>
      </c>
      <c r="B95" s="8">
        <f t="shared" si="12"/>
      </c>
      <c r="C95" s="47">
        <f t="shared" si="13"/>
      </c>
      <c r="D95" s="9">
        <f t="shared" si="14"/>
      </c>
      <c r="E95" s="48">
        <f t="shared" si="15"/>
      </c>
      <c r="F95" s="8">
        <f t="shared" si="16"/>
      </c>
    </row>
    <row r="96" spans="1:6" ht="12.75">
      <c r="A96" s="66">
        <f t="shared" si="17"/>
      </c>
      <c r="B96" s="8">
        <f t="shared" si="12"/>
      </c>
      <c r="C96" s="47">
        <f t="shared" si="13"/>
      </c>
      <c r="D96" s="9">
        <f t="shared" si="14"/>
      </c>
      <c r="E96" s="48">
        <f t="shared" si="15"/>
      </c>
      <c r="F96" s="8">
        <f t="shared" si="16"/>
      </c>
    </row>
    <row r="97" spans="1:6" ht="12.75">
      <c r="A97" s="66">
        <f t="shared" si="17"/>
      </c>
      <c r="B97" s="8">
        <f t="shared" si="12"/>
      </c>
      <c r="C97" s="47">
        <f t="shared" si="13"/>
      </c>
      <c r="D97" s="9">
        <f t="shared" si="14"/>
      </c>
      <c r="E97" s="48">
        <f t="shared" si="15"/>
      </c>
      <c r="F97" s="8">
        <f t="shared" si="16"/>
      </c>
    </row>
    <row r="98" spans="1:6" ht="12.75">
      <c r="A98" s="66">
        <f t="shared" si="17"/>
      </c>
      <c r="B98" s="8">
        <f t="shared" si="12"/>
      </c>
      <c r="C98" s="47">
        <f t="shared" si="13"/>
      </c>
      <c r="D98" s="9">
        <f t="shared" si="14"/>
      </c>
      <c r="E98" s="48">
        <f t="shared" si="15"/>
      </c>
      <c r="F98" s="8">
        <f t="shared" si="16"/>
      </c>
    </row>
    <row r="99" spans="1:6" ht="12.75">
      <c r="A99" s="66">
        <f t="shared" si="17"/>
      </c>
      <c r="B99" s="8">
        <f t="shared" si="12"/>
      </c>
      <c r="C99" s="47">
        <f t="shared" si="13"/>
      </c>
      <c r="D99" s="9">
        <f t="shared" si="14"/>
      </c>
      <c r="E99" s="48">
        <f t="shared" si="15"/>
      </c>
      <c r="F99" s="8">
        <f t="shared" si="16"/>
      </c>
    </row>
    <row r="100" spans="1:6" ht="12.75">
      <c r="A100" s="66">
        <f t="shared" si="17"/>
      </c>
      <c r="B100" s="8">
        <f t="shared" si="12"/>
      </c>
      <c r="C100" s="47">
        <f t="shared" si="13"/>
      </c>
      <c r="D100" s="9">
        <f t="shared" si="14"/>
      </c>
      <c r="E100" s="48">
        <f t="shared" si="15"/>
      </c>
      <c r="F100" s="8">
        <f t="shared" si="16"/>
      </c>
    </row>
    <row r="101" spans="1:6" ht="12.75">
      <c r="A101" s="66">
        <f t="shared" si="17"/>
      </c>
      <c r="B101" s="8">
        <f t="shared" si="12"/>
      </c>
      <c r="C101" s="47">
        <f t="shared" si="13"/>
      </c>
      <c r="D101" s="9">
        <f t="shared" si="14"/>
      </c>
      <c r="E101" s="48">
        <f t="shared" si="15"/>
      </c>
      <c r="F101" s="8">
        <f t="shared" si="16"/>
      </c>
    </row>
    <row r="102" spans="1:6" ht="12.75">
      <c r="A102" s="66">
        <f t="shared" si="17"/>
      </c>
      <c r="B102" s="8">
        <f t="shared" si="12"/>
      </c>
      <c r="C102" s="47">
        <f t="shared" si="13"/>
      </c>
      <c r="D102" s="9">
        <f t="shared" si="14"/>
      </c>
      <c r="E102" s="48">
        <f t="shared" si="15"/>
      </c>
      <c r="F102" s="8">
        <f t="shared" si="16"/>
      </c>
    </row>
    <row r="103" spans="1:6" ht="12.75">
      <c r="A103" s="66">
        <f t="shared" si="17"/>
      </c>
      <c r="B103" s="8">
        <f t="shared" si="12"/>
      </c>
      <c r="C103" s="47">
        <f t="shared" si="13"/>
      </c>
      <c r="D103" s="9">
        <f t="shared" si="14"/>
      </c>
      <c r="E103" s="48">
        <f t="shared" si="15"/>
      </c>
      <c r="F103" s="8">
        <f t="shared" si="16"/>
      </c>
    </row>
    <row r="104" spans="1:6" ht="12.75">
      <c r="A104" s="66">
        <f t="shared" si="17"/>
      </c>
      <c r="B104" s="8">
        <f t="shared" si="12"/>
      </c>
      <c r="C104" s="47">
        <f t="shared" si="13"/>
      </c>
      <c r="D104" s="9">
        <f t="shared" si="14"/>
      </c>
      <c r="E104" s="48">
        <f t="shared" si="15"/>
      </c>
      <c r="F104" s="8">
        <f t="shared" si="16"/>
      </c>
    </row>
    <row r="105" spans="1:6" ht="12.75">
      <c r="A105" s="66">
        <f t="shared" si="17"/>
      </c>
      <c r="B105" s="8">
        <f t="shared" si="12"/>
      </c>
      <c r="C105" s="47">
        <f t="shared" si="13"/>
      </c>
      <c r="D105" s="9">
        <f t="shared" si="14"/>
      </c>
      <c r="E105" s="48">
        <f t="shared" si="15"/>
      </c>
      <c r="F105" s="8">
        <f t="shared" si="16"/>
      </c>
    </row>
    <row r="106" spans="1:6" ht="12.75">
      <c r="A106" s="66">
        <f t="shared" si="17"/>
      </c>
      <c r="B106" s="8">
        <f t="shared" si="12"/>
      </c>
      <c r="C106" s="47">
        <f t="shared" si="13"/>
      </c>
      <c r="D106" s="9">
        <f t="shared" si="14"/>
      </c>
      <c r="E106" s="48">
        <f t="shared" si="15"/>
      </c>
      <c r="F106" s="8">
        <f t="shared" si="16"/>
      </c>
    </row>
    <row r="107" spans="1:6" ht="12.75">
      <c r="A107" s="66">
        <f t="shared" si="17"/>
      </c>
      <c r="B107" s="8">
        <f t="shared" si="12"/>
      </c>
      <c r="C107" s="47">
        <f t="shared" si="13"/>
      </c>
      <c r="D107" s="9">
        <f t="shared" si="14"/>
      </c>
      <c r="E107" s="48">
        <f t="shared" si="15"/>
      </c>
      <c r="F107" s="8">
        <f t="shared" si="16"/>
      </c>
    </row>
    <row r="108" spans="1:6" ht="12.75">
      <c r="A108" s="66">
        <f t="shared" si="17"/>
      </c>
      <c r="B108" s="8">
        <f t="shared" si="12"/>
      </c>
      <c r="C108" s="47">
        <f t="shared" si="13"/>
      </c>
      <c r="D108" s="9">
        <f t="shared" si="14"/>
      </c>
      <c r="E108" s="48">
        <f t="shared" si="15"/>
      </c>
      <c r="F108" s="8">
        <f t="shared" si="16"/>
      </c>
    </row>
    <row r="109" spans="1:6" ht="12.75">
      <c r="A109" s="66">
        <f t="shared" si="17"/>
      </c>
      <c r="B109" s="8">
        <f t="shared" si="12"/>
      </c>
      <c r="C109" s="47">
        <f t="shared" si="13"/>
      </c>
      <c r="D109" s="9">
        <f t="shared" si="14"/>
      </c>
      <c r="E109" s="48">
        <f t="shared" si="15"/>
      </c>
      <c r="F109" s="8">
        <f t="shared" si="16"/>
      </c>
    </row>
    <row r="110" spans="1:6" ht="12.75">
      <c r="A110" s="66">
        <f t="shared" si="17"/>
      </c>
      <c r="B110" s="8">
        <f t="shared" si="12"/>
      </c>
      <c r="C110" s="47">
        <f t="shared" si="13"/>
      </c>
      <c r="D110" s="9">
        <f t="shared" si="14"/>
      </c>
      <c r="E110" s="48">
        <f t="shared" si="15"/>
      </c>
      <c r="F110" s="8">
        <f t="shared" si="16"/>
      </c>
    </row>
    <row r="111" spans="1:6" ht="12.75">
      <c r="A111" s="66">
        <f t="shared" si="17"/>
      </c>
      <c r="B111" s="8">
        <f t="shared" si="12"/>
      </c>
      <c r="C111" s="47">
        <f t="shared" si="13"/>
      </c>
      <c r="D111" s="9">
        <f t="shared" si="14"/>
      </c>
      <c r="E111" s="48">
        <f t="shared" si="15"/>
      </c>
      <c r="F111" s="8">
        <f t="shared" si="16"/>
      </c>
    </row>
    <row r="112" spans="1:6" ht="12.75">
      <c r="A112" s="66">
        <f t="shared" si="17"/>
      </c>
      <c r="B112" s="8">
        <f t="shared" si="12"/>
      </c>
      <c r="C112" s="47">
        <f t="shared" si="13"/>
      </c>
      <c r="D112" s="9">
        <f t="shared" si="14"/>
      </c>
      <c r="E112" s="48">
        <f t="shared" si="15"/>
      </c>
      <c r="F112" s="8">
        <f t="shared" si="16"/>
      </c>
    </row>
    <row r="113" spans="1:6" ht="12.75">
      <c r="A113" s="66">
        <f t="shared" si="17"/>
      </c>
      <c r="B113" s="8">
        <f t="shared" si="12"/>
      </c>
      <c r="C113" s="47">
        <f t="shared" si="13"/>
      </c>
      <c r="D113" s="9">
        <f t="shared" si="14"/>
      </c>
      <c r="E113" s="48">
        <f t="shared" si="15"/>
      </c>
      <c r="F113" s="8">
        <f t="shared" si="16"/>
      </c>
    </row>
    <row r="114" spans="1:6" ht="12.75">
      <c r="A114" s="66">
        <f t="shared" si="17"/>
      </c>
      <c r="B114" s="8">
        <f t="shared" si="12"/>
      </c>
      <c r="C114" s="47">
        <f t="shared" si="13"/>
      </c>
      <c r="D114" s="9">
        <f t="shared" si="14"/>
      </c>
      <c r="E114" s="48">
        <f t="shared" si="15"/>
      </c>
      <c r="F114" s="8">
        <f t="shared" si="16"/>
      </c>
    </row>
    <row r="115" spans="1:6" ht="12.75">
      <c r="A115" s="66">
        <f t="shared" si="17"/>
      </c>
      <c r="B115" s="8">
        <f t="shared" si="12"/>
      </c>
      <c r="C115" s="47">
        <f t="shared" si="13"/>
      </c>
      <c r="D115" s="9">
        <f t="shared" si="14"/>
      </c>
      <c r="E115" s="48">
        <f t="shared" si="15"/>
      </c>
      <c r="F115" s="8">
        <f t="shared" si="16"/>
      </c>
    </row>
    <row r="116" spans="1:6" ht="12.75">
      <c r="A116" s="66">
        <f t="shared" si="17"/>
      </c>
      <c r="B116" s="8">
        <f t="shared" si="12"/>
      </c>
      <c r="C116" s="47">
        <f t="shared" si="13"/>
      </c>
      <c r="D116" s="9">
        <f t="shared" si="14"/>
      </c>
      <c r="E116" s="48">
        <f t="shared" si="15"/>
      </c>
      <c r="F116" s="8">
        <f t="shared" si="16"/>
      </c>
    </row>
    <row r="117" spans="1:6" ht="12.75">
      <c r="A117" s="66">
        <f t="shared" si="17"/>
      </c>
      <c r="B117" s="8">
        <f t="shared" si="12"/>
      </c>
      <c r="C117" s="47">
        <f t="shared" si="13"/>
      </c>
      <c r="D117" s="9">
        <f t="shared" si="14"/>
      </c>
      <c r="E117" s="48">
        <f t="shared" si="15"/>
      </c>
      <c r="F117" s="8">
        <f t="shared" si="16"/>
      </c>
    </row>
    <row r="118" spans="1:6" ht="12.75">
      <c r="A118" s="66">
        <f t="shared" si="17"/>
      </c>
      <c r="B118" s="8">
        <f t="shared" si="12"/>
      </c>
      <c r="C118" s="47">
        <f t="shared" si="13"/>
      </c>
      <c r="D118" s="9">
        <f t="shared" si="14"/>
      </c>
      <c r="E118" s="48">
        <f t="shared" si="15"/>
      </c>
      <c r="F118" s="8">
        <f t="shared" si="16"/>
      </c>
    </row>
    <row r="119" spans="1:6" ht="12.75">
      <c r="A119" s="66">
        <f t="shared" si="17"/>
      </c>
      <c r="B119" s="8">
        <f t="shared" si="12"/>
      </c>
      <c r="C119" s="47">
        <f t="shared" si="13"/>
      </c>
      <c r="D119" s="9">
        <f t="shared" si="14"/>
      </c>
      <c r="E119" s="48">
        <f t="shared" si="15"/>
      </c>
      <c r="F119" s="8">
        <f t="shared" si="16"/>
      </c>
    </row>
    <row r="120" spans="1:6" ht="12.75">
      <c r="A120" s="66">
        <f t="shared" si="17"/>
      </c>
      <c r="B120" s="8">
        <f t="shared" si="12"/>
      </c>
      <c r="C120" s="47">
        <f t="shared" si="13"/>
      </c>
      <c r="D120" s="9">
        <f t="shared" si="14"/>
      </c>
      <c r="E120" s="48">
        <f t="shared" si="15"/>
      </c>
      <c r="F120" s="8">
        <f t="shared" si="16"/>
      </c>
    </row>
    <row r="121" spans="1:6" ht="12.75">
      <c r="A121" s="66">
        <f t="shared" si="17"/>
      </c>
      <c r="B121" s="8">
        <f t="shared" si="12"/>
      </c>
      <c r="C121" s="47">
        <f t="shared" si="13"/>
      </c>
      <c r="D121" s="9">
        <f t="shared" si="14"/>
      </c>
      <c r="E121" s="48">
        <f t="shared" si="15"/>
      </c>
      <c r="F121" s="8">
        <f t="shared" si="16"/>
      </c>
    </row>
    <row r="122" spans="1:6" ht="12.75">
      <c r="A122" s="66">
        <f t="shared" si="17"/>
      </c>
      <c r="B122" s="8">
        <f t="shared" si="12"/>
      </c>
      <c r="C122" s="47">
        <f t="shared" si="13"/>
      </c>
      <c r="D122" s="9">
        <f t="shared" si="14"/>
      </c>
      <c r="E122" s="48">
        <f t="shared" si="15"/>
      </c>
      <c r="F122" s="8">
        <f t="shared" si="16"/>
      </c>
    </row>
    <row r="123" spans="1:6" ht="12.75">
      <c r="A123" s="66">
        <f t="shared" si="17"/>
      </c>
      <c r="B123" s="8">
        <f t="shared" si="12"/>
      </c>
      <c r="C123" s="47">
        <f t="shared" si="13"/>
      </c>
      <c r="D123" s="9">
        <f t="shared" si="14"/>
      </c>
      <c r="E123" s="48">
        <f t="shared" si="15"/>
      </c>
      <c r="F123" s="8">
        <f t="shared" si="16"/>
      </c>
    </row>
    <row r="124" spans="1:6" ht="12.75">
      <c r="A124" s="66">
        <f t="shared" si="17"/>
      </c>
      <c r="B124" s="8">
        <f t="shared" si="12"/>
      </c>
      <c r="C124" s="47">
        <f t="shared" si="13"/>
      </c>
      <c r="D124" s="9">
        <f t="shared" si="14"/>
      </c>
      <c r="E124" s="48">
        <f t="shared" si="15"/>
      </c>
      <c r="F124" s="8">
        <f t="shared" si="16"/>
      </c>
    </row>
    <row r="125" spans="1:6" ht="12.75">
      <c r="A125" s="66">
        <f t="shared" si="17"/>
      </c>
      <c r="B125" s="8">
        <f t="shared" si="12"/>
      </c>
      <c r="C125" s="47">
        <f t="shared" si="13"/>
      </c>
      <c r="D125" s="9">
        <f t="shared" si="14"/>
      </c>
      <c r="E125" s="48">
        <f t="shared" si="15"/>
      </c>
      <c r="F125" s="8">
        <f t="shared" si="16"/>
      </c>
    </row>
    <row r="126" spans="1:6" ht="12.75">
      <c r="A126" s="66">
        <f t="shared" si="17"/>
      </c>
      <c r="B126" s="8">
        <f t="shared" si="12"/>
      </c>
      <c r="C126" s="47">
        <f t="shared" si="13"/>
      </c>
      <c r="D126" s="9">
        <f t="shared" si="14"/>
      </c>
      <c r="E126" s="48">
        <f t="shared" si="15"/>
      </c>
      <c r="F126" s="8">
        <f t="shared" si="16"/>
      </c>
    </row>
    <row r="127" spans="1:6" ht="12.75">
      <c r="A127" s="66">
        <f t="shared" si="17"/>
      </c>
      <c r="B127" s="8">
        <f t="shared" si="12"/>
      </c>
      <c r="C127" s="47">
        <f t="shared" si="13"/>
      </c>
      <c r="D127" s="9">
        <f t="shared" si="14"/>
      </c>
      <c r="E127" s="48">
        <f t="shared" si="15"/>
      </c>
      <c r="F127" s="8">
        <f t="shared" si="16"/>
      </c>
    </row>
    <row r="128" spans="1:6" ht="12.75">
      <c r="A128" s="66">
        <f t="shared" si="17"/>
      </c>
      <c r="B128" s="8">
        <f t="shared" si="12"/>
      </c>
      <c r="C128" s="47">
        <f t="shared" si="13"/>
      </c>
      <c r="D128" s="9">
        <f t="shared" si="14"/>
      </c>
      <c r="E128" s="48">
        <f t="shared" si="15"/>
      </c>
      <c r="F128" s="8">
        <f t="shared" si="16"/>
      </c>
    </row>
    <row r="129" spans="1:6" ht="12.75">
      <c r="A129" s="66">
        <f t="shared" si="17"/>
      </c>
      <c r="B129" s="8">
        <f t="shared" si="12"/>
      </c>
      <c r="C129" s="47">
        <f t="shared" si="13"/>
      </c>
      <c r="D129" s="9">
        <f t="shared" si="14"/>
      </c>
      <c r="E129" s="48">
        <f t="shared" si="15"/>
      </c>
      <c r="F129" s="8">
        <f t="shared" si="16"/>
      </c>
    </row>
    <row r="130" spans="1:6" ht="12.75">
      <c r="A130" s="66">
        <f t="shared" si="17"/>
      </c>
      <c r="B130" s="8">
        <f t="shared" si="12"/>
      </c>
      <c r="C130" s="47">
        <f t="shared" si="13"/>
      </c>
      <c r="D130" s="9">
        <f t="shared" si="14"/>
      </c>
      <c r="E130" s="48">
        <f t="shared" si="15"/>
      </c>
      <c r="F130" s="8">
        <f t="shared" si="16"/>
      </c>
    </row>
    <row r="131" spans="1:6" ht="12.75">
      <c r="A131" s="66">
        <f t="shared" si="17"/>
      </c>
      <c r="B131" s="8">
        <f t="shared" si="12"/>
      </c>
      <c r="C131" s="47">
        <f t="shared" si="13"/>
      </c>
      <c r="D131" s="9">
        <f t="shared" si="14"/>
      </c>
      <c r="E131" s="48">
        <f t="shared" si="15"/>
      </c>
      <c r="F131" s="8">
        <f t="shared" si="16"/>
      </c>
    </row>
    <row r="132" spans="1:6" ht="12.75">
      <c r="A132" s="66">
        <f t="shared" si="17"/>
      </c>
      <c r="B132" s="8">
        <f t="shared" si="12"/>
      </c>
      <c r="C132" s="47">
        <f t="shared" si="13"/>
      </c>
      <c r="D132" s="9">
        <f t="shared" si="14"/>
      </c>
      <c r="E132" s="48">
        <f t="shared" si="15"/>
      </c>
      <c r="F132" s="8">
        <f t="shared" si="16"/>
      </c>
    </row>
    <row r="133" spans="1:6" ht="12.75">
      <c r="A133" s="66">
        <f t="shared" si="17"/>
      </c>
      <c r="B133" s="8">
        <f t="shared" si="12"/>
      </c>
      <c r="C133" s="47">
        <f t="shared" si="13"/>
      </c>
      <c r="D133" s="9">
        <f t="shared" si="14"/>
      </c>
      <c r="E133" s="48">
        <f t="shared" si="15"/>
      </c>
      <c r="F133" s="8">
        <f t="shared" si="16"/>
      </c>
    </row>
    <row r="134" spans="1:6" ht="12.75">
      <c r="A134" s="66">
        <f t="shared" si="17"/>
      </c>
      <c r="B134" s="8">
        <f t="shared" si="12"/>
      </c>
      <c r="C134" s="47">
        <f t="shared" si="13"/>
      </c>
      <c r="D134" s="9">
        <f t="shared" si="14"/>
      </c>
      <c r="E134" s="48">
        <f t="shared" si="15"/>
      </c>
      <c r="F134" s="8">
        <f t="shared" si="16"/>
      </c>
    </row>
    <row r="135" spans="1:6" ht="12.75">
      <c r="A135" s="66">
        <f t="shared" si="17"/>
      </c>
      <c r="B135" s="8">
        <f t="shared" si="12"/>
      </c>
      <c r="C135" s="47">
        <f t="shared" si="13"/>
      </c>
      <c r="D135" s="9">
        <f t="shared" si="14"/>
      </c>
      <c r="E135" s="48">
        <f t="shared" si="15"/>
      </c>
      <c r="F135" s="8">
        <f t="shared" si="16"/>
      </c>
    </row>
    <row r="136" spans="1:6" ht="12.75">
      <c r="A136" s="66">
        <f t="shared" si="17"/>
      </c>
      <c r="B136" s="8">
        <f t="shared" si="12"/>
      </c>
      <c r="C136" s="47">
        <f t="shared" si="13"/>
      </c>
      <c r="D136" s="9">
        <f t="shared" si="14"/>
      </c>
      <c r="E136" s="48">
        <f t="shared" si="15"/>
      </c>
      <c r="F136" s="8">
        <f t="shared" si="16"/>
      </c>
    </row>
    <row r="137" spans="1:6" ht="12.75">
      <c r="A137" s="66">
        <f t="shared" si="17"/>
      </c>
      <c r="B137" s="8">
        <f t="shared" si="12"/>
      </c>
      <c r="C137" s="47">
        <f t="shared" si="13"/>
      </c>
      <c r="D137" s="9">
        <f t="shared" si="14"/>
      </c>
      <c r="E137" s="48">
        <f t="shared" si="15"/>
      </c>
      <c r="F137" s="8">
        <f t="shared" si="16"/>
      </c>
    </row>
    <row r="138" spans="1:6" ht="12.75">
      <c r="A138" s="66">
        <f t="shared" si="17"/>
      </c>
      <c r="B138" s="8">
        <f t="shared" si="12"/>
      </c>
      <c r="C138" s="47">
        <f t="shared" si="13"/>
      </c>
      <c r="D138" s="9">
        <f t="shared" si="14"/>
      </c>
      <c r="E138" s="48">
        <f t="shared" si="15"/>
      </c>
      <c r="F138" s="8">
        <f t="shared" si="16"/>
      </c>
    </row>
    <row r="139" spans="1:6" ht="12.75">
      <c r="A139" s="66">
        <f t="shared" si="17"/>
      </c>
      <c r="B139" s="8">
        <f t="shared" si="12"/>
      </c>
      <c r="C139" s="47">
        <f t="shared" si="13"/>
      </c>
      <c r="D139" s="9">
        <f t="shared" si="14"/>
      </c>
      <c r="E139" s="48">
        <f t="shared" si="15"/>
      </c>
      <c r="F139" s="8">
        <f t="shared" si="16"/>
      </c>
    </row>
    <row r="140" spans="1:6" ht="12.75">
      <c r="A140" s="66">
        <f t="shared" si="17"/>
      </c>
      <c r="B140" s="8">
        <f t="shared" si="12"/>
      </c>
      <c r="C140" s="47">
        <f t="shared" si="13"/>
      </c>
      <c r="D140" s="9">
        <f t="shared" si="14"/>
      </c>
      <c r="E140" s="48">
        <f t="shared" si="15"/>
      </c>
      <c r="F140" s="8">
        <f t="shared" si="16"/>
      </c>
    </row>
    <row r="141" spans="1:6" ht="12.75">
      <c r="A141" s="66">
        <f t="shared" si="17"/>
      </c>
      <c r="B141" s="8">
        <f t="shared" si="12"/>
      </c>
      <c r="C141" s="47">
        <f t="shared" si="13"/>
      </c>
      <c r="D141" s="9">
        <f t="shared" si="14"/>
      </c>
      <c r="E141" s="48">
        <f t="shared" si="15"/>
      </c>
      <c r="F141" s="8">
        <f t="shared" si="16"/>
      </c>
    </row>
    <row r="142" spans="1:6" ht="12.75">
      <c r="A142" s="66">
        <f t="shared" si="17"/>
      </c>
      <c r="B142" s="8">
        <f t="shared" si="12"/>
      </c>
      <c r="C142" s="47">
        <f t="shared" si="13"/>
      </c>
      <c r="D142" s="9">
        <f t="shared" si="14"/>
      </c>
      <c r="E142" s="48">
        <f t="shared" si="15"/>
      </c>
      <c r="F142" s="8">
        <f t="shared" si="16"/>
      </c>
    </row>
    <row r="143" spans="1:6" ht="12.75">
      <c r="A143" s="66">
        <f t="shared" si="17"/>
      </c>
      <c r="B143" s="8">
        <f t="shared" si="12"/>
      </c>
      <c r="C143" s="47">
        <f t="shared" si="13"/>
      </c>
      <c r="D143" s="9">
        <f t="shared" si="14"/>
      </c>
      <c r="E143" s="48">
        <f t="shared" si="15"/>
      </c>
      <c r="F143" s="8">
        <f t="shared" si="16"/>
      </c>
    </row>
    <row r="144" spans="1:6" ht="12.75">
      <c r="A144" s="66">
        <f t="shared" si="17"/>
      </c>
      <c r="B144" s="8">
        <f t="shared" si="12"/>
      </c>
      <c r="C144" s="47">
        <f t="shared" si="13"/>
      </c>
      <c r="D144" s="9">
        <f t="shared" si="14"/>
      </c>
      <c r="E144" s="48">
        <f t="shared" si="15"/>
      </c>
      <c r="F144" s="8">
        <f t="shared" si="16"/>
      </c>
    </row>
    <row r="145" spans="1:6" ht="12.75">
      <c r="A145" s="66">
        <f t="shared" si="17"/>
      </c>
      <c r="B145" s="8">
        <f t="shared" si="12"/>
      </c>
      <c r="C145" s="47">
        <f t="shared" si="13"/>
      </c>
      <c r="D145" s="9">
        <f t="shared" si="14"/>
      </c>
      <c r="E145" s="48">
        <f t="shared" si="15"/>
      </c>
      <c r="F145" s="8">
        <f t="shared" si="16"/>
      </c>
    </row>
    <row r="146" spans="1:6" ht="12.75">
      <c r="A146" s="66">
        <f t="shared" si="17"/>
      </c>
      <c r="B146" s="8">
        <f t="shared" si="12"/>
      </c>
      <c r="C146" s="47">
        <f t="shared" si="13"/>
      </c>
      <c r="D146" s="9">
        <f t="shared" si="14"/>
      </c>
      <c r="E146" s="48">
        <f t="shared" si="15"/>
      </c>
      <c r="F146" s="8">
        <f t="shared" si="16"/>
      </c>
    </row>
    <row r="147" spans="1:6" ht="12.75">
      <c r="A147" s="66">
        <f t="shared" si="17"/>
      </c>
      <c r="B147" s="8">
        <f t="shared" si="12"/>
      </c>
      <c r="C147" s="47">
        <f t="shared" si="13"/>
      </c>
      <c r="D147" s="9">
        <f t="shared" si="14"/>
      </c>
      <c r="E147" s="48">
        <f t="shared" si="15"/>
      </c>
      <c r="F147" s="8">
        <f t="shared" si="16"/>
      </c>
    </row>
    <row r="148" spans="1:6" ht="12.75">
      <c r="A148" s="66">
        <f t="shared" si="17"/>
      </c>
      <c r="B148" s="8">
        <f t="shared" si="12"/>
      </c>
      <c r="C148" s="47">
        <f t="shared" si="13"/>
      </c>
      <c r="D148" s="9">
        <f t="shared" si="14"/>
      </c>
      <c r="E148" s="48">
        <f t="shared" si="15"/>
      </c>
      <c r="F148" s="8">
        <f t="shared" si="16"/>
      </c>
    </row>
    <row r="149" spans="1:6" ht="12.75">
      <c r="A149" s="66">
        <f t="shared" si="17"/>
      </c>
      <c r="B149" s="8">
        <f t="shared" si="12"/>
      </c>
      <c r="C149" s="47">
        <f t="shared" si="13"/>
      </c>
      <c r="D149" s="9">
        <f t="shared" si="14"/>
      </c>
      <c r="E149" s="48">
        <f t="shared" si="15"/>
      </c>
      <c r="F149" s="8">
        <f t="shared" si="16"/>
      </c>
    </row>
    <row r="150" spans="1:6" ht="12.75">
      <c r="A150" s="66">
        <f t="shared" si="17"/>
      </c>
      <c r="B150" s="8">
        <f t="shared" si="12"/>
      </c>
      <c r="C150" s="47">
        <f t="shared" si="13"/>
      </c>
      <c r="D150" s="9">
        <f t="shared" si="14"/>
      </c>
      <c r="E150" s="48">
        <f t="shared" si="15"/>
      </c>
      <c r="F150" s="8">
        <f t="shared" si="16"/>
      </c>
    </row>
    <row r="151" spans="1:6" ht="12.75">
      <c r="A151" s="66">
        <f t="shared" si="17"/>
      </c>
      <c r="B151" s="8">
        <f t="shared" si="12"/>
      </c>
      <c r="C151" s="47">
        <f t="shared" si="13"/>
      </c>
      <c r="D151" s="9">
        <f t="shared" si="14"/>
      </c>
      <c r="E151" s="48">
        <f t="shared" si="15"/>
      </c>
      <c r="F151" s="8">
        <f t="shared" si="16"/>
      </c>
    </row>
    <row r="152" spans="1:6" ht="12.75">
      <c r="A152" s="66">
        <f t="shared" si="17"/>
      </c>
      <c r="B152" s="8">
        <f t="shared" si="12"/>
      </c>
      <c r="C152" s="47">
        <f t="shared" si="13"/>
      </c>
      <c r="D152" s="9">
        <f t="shared" si="14"/>
      </c>
      <c r="E152" s="48">
        <f t="shared" si="15"/>
      </c>
      <c r="F152" s="8">
        <f t="shared" si="16"/>
      </c>
    </row>
    <row r="153" spans="1:6" ht="12.75">
      <c r="A153" s="66">
        <f t="shared" si="17"/>
      </c>
      <c r="B153" s="8">
        <f t="shared" si="12"/>
      </c>
      <c r="C153" s="47">
        <f t="shared" si="13"/>
      </c>
      <c r="D153" s="9">
        <f t="shared" si="14"/>
      </c>
      <c r="E153" s="48">
        <f t="shared" si="15"/>
      </c>
      <c r="F153" s="8">
        <f t="shared" si="16"/>
      </c>
    </row>
    <row r="154" spans="1:6" ht="12.75">
      <c r="A154" s="66">
        <f aca="true" t="shared" si="18" ref="A154:A217">F154</f>
      </c>
      <c r="B154" s="8">
        <f aca="true" t="shared" si="19" ref="B154:B217">IF(F153="","",IF(F153=1,"",E153))</f>
      </c>
      <c r="C154" s="47">
        <f aca="true" t="shared" si="20" ref="C154:C217">IF(F153="","",IF(F153=1,"",D153))</f>
      </c>
      <c r="D154" s="9">
        <f aca="true" t="shared" si="21" ref="D154:D217">IF(F153="","",IF(F153=1,"",SQRT(1/(-2*LOG(($C$9/3.7)+(2.51/($C$10*SQRT(B154)))))^-2)))</f>
      </c>
      <c r="E154" s="48">
        <f aca="true" t="shared" si="22" ref="E154:E217">IF(F153="","",IF(F153=1,"",POWER((-2*LOG(($C$9/3.7)+(2.51/($C$10*SQRT(B154))))),-2)))</f>
      </c>
      <c r="F154" s="8">
        <f aca="true" t="shared" si="23" ref="F154:F217">IF(F153="","",IF(F153=1,"",IF((ABS(E154-B154)&lt;=0.00000001),1,0)))</f>
      </c>
    </row>
    <row r="155" spans="1:6" ht="12.75">
      <c r="A155" s="66">
        <f t="shared" si="18"/>
      </c>
      <c r="B155" s="8">
        <f t="shared" si="19"/>
      </c>
      <c r="C155" s="47">
        <f t="shared" si="20"/>
      </c>
      <c r="D155" s="9">
        <f t="shared" si="21"/>
      </c>
      <c r="E155" s="48">
        <f t="shared" si="22"/>
      </c>
      <c r="F155" s="8">
        <f t="shared" si="23"/>
      </c>
    </row>
    <row r="156" spans="1:6" ht="12.75">
      <c r="A156" s="66">
        <f t="shared" si="18"/>
      </c>
      <c r="B156" s="8">
        <f t="shared" si="19"/>
      </c>
      <c r="C156" s="47">
        <f t="shared" si="20"/>
      </c>
      <c r="D156" s="9">
        <f t="shared" si="21"/>
      </c>
      <c r="E156" s="48">
        <f t="shared" si="22"/>
      </c>
      <c r="F156" s="8">
        <f t="shared" si="23"/>
      </c>
    </row>
    <row r="157" spans="1:6" ht="12.75">
      <c r="A157" s="66">
        <f t="shared" si="18"/>
      </c>
      <c r="B157" s="8">
        <f t="shared" si="19"/>
      </c>
      <c r="C157" s="47">
        <f t="shared" si="20"/>
      </c>
      <c r="D157" s="9">
        <f t="shared" si="21"/>
      </c>
      <c r="E157" s="48">
        <f t="shared" si="22"/>
      </c>
      <c r="F157" s="8">
        <f t="shared" si="23"/>
      </c>
    </row>
    <row r="158" spans="1:6" ht="12.75">
      <c r="A158" s="66">
        <f t="shared" si="18"/>
      </c>
      <c r="B158" s="8">
        <f t="shared" si="19"/>
      </c>
      <c r="C158" s="47">
        <f t="shared" si="20"/>
      </c>
      <c r="D158" s="9">
        <f t="shared" si="21"/>
      </c>
      <c r="E158" s="48">
        <f t="shared" si="22"/>
      </c>
      <c r="F158" s="8">
        <f t="shared" si="23"/>
      </c>
    </row>
    <row r="159" spans="1:6" ht="12.75">
      <c r="A159" s="66">
        <f t="shared" si="18"/>
      </c>
      <c r="B159" s="8">
        <f t="shared" si="19"/>
      </c>
      <c r="C159" s="47">
        <f t="shared" si="20"/>
      </c>
      <c r="D159" s="9">
        <f t="shared" si="21"/>
      </c>
      <c r="E159" s="48">
        <f t="shared" si="22"/>
      </c>
      <c r="F159" s="8">
        <f t="shared" si="23"/>
      </c>
    </row>
    <row r="160" spans="1:6" ht="12.75">
      <c r="A160" s="66">
        <f t="shared" si="18"/>
      </c>
      <c r="B160" s="8">
        <f t="shared" si="19"/>
      </c>
      <c r="C160" s="47">
        <f t="shared" si="20"/>
      </c>
      <c r="D160" s="9">
        <f t="shared" si="21"/>
      </c>
      <c r="E160" s="48">
        <f t="shared" si="22"/>
      </c>
      <c r="F160" s="8">
        <f t="shared" si="23"/>
      </c>
    </row>
    <row r="161" spans="1:6" ht="12.75">
      <c r="A161" s="66">
        <f t="shared" si="18"/>
      </c>
      <c r="B161" s="8">
        <f t="shared" si="19"/>
      </c>
      <c r="C161" s="47">
        <f t="shared" si="20"/>
      </c>
      <c r="D161" s="9">
        <f t="shared" si="21"/>
      </c>
      <c r="E161" s="48">
        <f t="shared" si="22"/>
      </c>
      <c r="F161" s="8">
        <f t="shared" si="23"/>
      </c>
    </row>
    <row r="162" spans="1:6" ht="12.75">
      <c r="A162" s="66">
        <f t="shared" si="18"/>
      </c>
      <c r="B162" s="8">
        <f t="shared" si="19"/>
      </c>
      <c r="C162" s="47">
        <f t="shared" si="20"/>
      </c>
      <c r="D162" s="9">
        <f t="shared" si="21"/>
      </c>
      <c r="E162" s="48">
        <f t="shared" si="22"/>
      </c>
      <c r="F162" s="8">
        <f t="shared" si="23"/>
      </c>
    </row>
    <row r="163" spans="1:6" ht="12.75">
      <c r="A163" s="66">
        <f t="shared" si="18"/>
      </c>
      <c r="B163" s="8">
        <f t="shared" si="19"/>
      </c>
      <c r="C163" s="47">
        <f t="shared" si="20"/>
      </c>
      <c r="D163" s="9">
        <f t="shared" si="21"/>
      </c>
      <c r="E163" s="48">
        <f t="shared" si="22"/>
      </c>
      <c r="F163" s="8">
        <f t="shared" si="23"/>
      </c>
    </row>
    <row r="164" spans="1:6" ht="12.75">
      <c r="A164" s="66">
        <f t="shared" si="18"/>
      </c>
      <c r="B164" s="8">
        <f t="shared" si="19"/>
      </c>
      <c r="C164" s="47">
        <f t="shared" si="20"/>
      </c>
      <c r="D164" s="9">
        <f t="shared" si="21"/>
      </c>
      <c r="E164" s="48">
        <f t="shared" si="22"/>
      </c>
      <c r="F164" s="8">
        <f t="shared" si="23"/>
      </c>
    </row>
    <row r="165" spans="1:6" ht="12.75">
      <c r="A165" s="66">
        <f t="shared" si="18"/>
      </c>
      <c r="B165" s="8">
        <f t="shared" si="19"/>
      </c>
      <c r="C165" s="47">
        <f t="shared" si="20"/>
      </c>
      <c r="D165" s="9">
        <f t="shared" si="21"/>
      </c>
      <c r="E165" s="48">
        <f t="shared" si="22"/>
      </c>
      <c r="F165" s="8">
        <f t="shared" si="23"/>
      </c>
    </row>
    <row r="166" spans="1:6" ht="12.75">
      <c r="A166" s="66">
        <f t="shared" si="18"/>
      </c>
      <c r="B166" s="8">
        <f t="shared" si="19"/>
      </c>
      <c r="C166" s="47">
        <f t="shared" si="20"/>
      </c>
      <c r="D166" s="9">
        <f t="shared" si="21"/>
      </c>
      <c r="E166" s="48">
        <f t="shared" si="22"/>
      </c>
      <c r="F166" s="8">
        <f t="shared" si="23"/>
      </c>
    </row>
    <row r="167" spans="1:6" ht="12.75">
      <c r="A167" s="66">
        <f t="shared" si="18"/>
      </c>
      <c r="B167" s="8">
        <f t="shared" si="19"/>
      </c>
      <c r="C167" s="47">
        <f t="shared" si="20"/>
      </c>
      <c r="D167" s="9">
        <f t="shared" si="21"/>
      </c>
      <c r="E167" s="48">
        <f t="shared" si="22"/>
      </c>
      <c r="F167" s="8">
        <f t="shared" si="23"/>
      </c>
    </row>
    <row r="168" spans="1:6" ht="12.75">
      <c r="A168" s="66">
        <f t="shared" si="18"/>
      </c>
      <c r="B168" s="8">
        <f t="shared" si="19"/>
      </c>
      <c r="C168" s="47">
        <f t="shared" si="20"/>
      </c>
      <c r="D168" s="9">
        <f t="shared" si="21"/>
      </c>
      <c r="E168" s="48">
        <f t="shared" si="22"/>
      </c>
      <c r="F168" s="8">
        <f t="shared" si="23"/>
      </c>
    </row>
    <row r="169" spans="1:6" ht="12.75">
      <c r="A169" s="66">
        <f t="shared" si="18"/>
      </c>
      <c r="B169" s="8">
        <f t="shared" si="19"/>
      </c>
      <c r="C169" s="47">
        <f t="shared" si="20"/>
      </c>
      <c r="D169" s="9">
        <f t="shared" si="21"/>
      </c>
      <c r="E169" s="48">
        <f t="shared" si="22"/>
      </c>
      <c r="F169" s="8">
        <f t="shared" si="23"/>
      </c>
    </row>
    <row r="170" spans="1:6" ht="12.75">
      <c r="A170" s="66">
        <f t="shared" si="18"/>
      </c>
      <c r="B170" s="8">
        <f t="shared" si="19"/>
      </c>
      <c r="C170" s="47">
        <f t="shared" si="20"/>
      </c>
      <c r="D170" s="9">
        <f t="shared" si="21"/>
      </c>
      <c r="E170" s="48">
        <f t="shared" si="22"/>
      </c>
      <c r="F170" s="8">
        <f t="shared" si="23"/>
      </c>
    </row>
    <row r="171" spans="1:6" ht="12.75">
      <c r="A171" s="66">
        <f t="shared" si="18"/>
      </c>
      <c r="B171" s="8">
        <f t="shared" si="19"/>
      </c>
      <c r="C171" s="47">
        <f t="shared" si="20"/>
      </c>
      <c r="D171" s="9">
        <f t="shared" si="21"/>
      </c>
      <c r="E171" s="48">
        <f t="shared" si="22"/>
      </c>
      <c r="F171" s="8">
        <f t="shared" si="23"/>
      </c>
    </row>
    <row r="172" spans="1:6" ht="12.75">
      <c r="A172" s="66">
        <f t="shared" si="18"/>
      </c>
      <c r="B172" s="8">
        <f t="shared" si="19"/>
      </c>
      <c r="C172" s="47">
        <f t="shared" si="20"/>
      </c>
      <c r="D172" s="9">
        <f t="shared" si="21"/>
      </c>
      <c r="E172" s="48">
        <f t="shared" si="22"/>
      </c>
      <c r="F172" s="8">
        <f t="shared" si="23"/>
      </c>
    </row>
    <row r="173" spans="1:6" ht="12.75">
      <c r="A173" s="66">
        <f t="shared" si="18"/>
      </c>
      <c r="B173" s="8">
        <f t="shared" si="19"/>
      </c>
      <c r="C173" s="47">
        <f t="shared" si="20"/>
      </c>
      <c r="D173" s="9">
        <f t="shared" si="21"/>
      </c>
      <c r="E173" s="48">
        <f t="shared" si="22"/>
      </c>
      <c r="F173" s="8">
        <f t="shared" si="23"/>
      </c>
    </row>
    <row r="174" spans="1:6" ht="12.75">
      <c r="A174" s="66">
        <f t="shared" si="18"/>
      </c>
      <c r="B174" s="8">
        <f t="shared" si="19"/>
      </c>
      <c r="C174" s="47">
        <f t="shared" si="20"/>
      </c>
      <c r="D174" s="9">
        <f t="shared" si="21"/>
      </c>
      <c r="E174" s="48">
        <f t="shared" si="22"/>
      </c>
      <c r="F174" s="8">
        <f t="shared" si="23"/>
      </c>
    </row>
    <row r="175" spans="1:6" ht="12.75">
      <c r="A175" s="66">
        <f t="shared" si="18"/>
      </c>
      <c r="B175" s="8">
        <f t="shared" si="19"/>
      </c>
      <c r="C175" s="47">
        <f t="shared" si="20"/>
      </c>
      <c r="D175" s="9">
        <f t="shared" si="21"/>
      </c>
      <c r="E175" s="48">
        <f t="shared" si="22"/>
      </c>
      <c r="F175" s="8">
        <f t="shared" si="23"/>
      </c>
    </row>
    <row r="176" spans="1:6" ht="12.75">
      <c r="A176" s="66">
        <f t="shared" si="18"/>
      </c>
      <c r="B176" s="8">
        <f t="shared" si="19"/>
      </c>
      <c r="C176" s="47">
        <f t="shared" si="20"/>
      </c>
      <c r="D176" s="9">
        <f t="shared" si="21"/>
      </c>
      <c r="E176" s="48">
        <f t="shared" si="22"/>
      </c>
      <c r="F176" s="8">
        <f t="shared" si="23"/>
      </c>
    </row>
    <row r="177" spans="1:6" ht="12.75">
      <c r="A177" s="66">
        <f t="shared" si="18"/>
      </c>
      <c r="B177" s="8">
        <f t="shared" si="19"/>
      </c>
      <c r="C177" s="47">
        <f t="shared" si="20"/>
      </c>
      <c r="D177" s="9">
        <f t="shared" si="21"/>
      </c>
      <c r="E177" s="48">
        <f t="shared" si="22"/>
      </c>
      <c r="F177" s="8">
        <f t="shared" si="23"/>
      </c>
    </row>
    <row r="178" spans="1:6" ht="12.75">
      <c r="A178" s="66">
        <f t="shared" si="18"/>
      </c>
      <c r="B178" s="8">
        <f t="shared" si="19"/>
      </c>
      <c r="C178" s="47">
        <f t="shared" si="20"/>
      </c>
      <c r="D178" s="9">
        <f t="shared" si="21"/>
      </c>
      <c r="E178" s="48">
        <f t="shared" si="22"/>
      </c>
      <c r="F178" s="8">
        <f t="shared" si="23"/>
      </c>
    </row>
    <row r="179" spans="1:6" ht="12.75">
      <c r="A179" s="66">
        <f t="shared" si="18"/>
      </c>
      <c r="B179" s="8">
        <f t="shared" si="19"/>
      </c>
      <c r="C179" s="47">
        <f t="shared" si="20"/>
      </c>
      <c r="D179" s="9">
        <f t="shared" si="21"/>
      </c>
      <c r="E179" s="48">
        <f t="shared" si="22"/>
      </c>
      <c r="F179" s="8">
        <f t="shared" si="23"/>
      </c>
    </row>
    <row r="180" spans="1:6" ht="12.75">
      <c r="A180" s="66">
        <f t="shared" si="18"/>
      </c>
      <c r="B180" s="8">
        <f t="shared" si="19"/>
      </c>
      <c r="C180" s="47">
        <f t="shared" si="20"/>
      </c>
      <c r="D180" s="9">
        <f t="shared" si="21"/>
      </c>
      <c r="E180" s="48">
        <f t="shared" si="22"/>
      </c>
      <c r="F180" s="8">
        <f t="shared" si="23"/>
      </c>
    </row>
    <row r="181" spans="1:6" ht="12.75">
      <c r="A181" s="66">
        <f t="shared" si="18"/>
      </c>
      <c r="B181" s="8">
        <f t="shared" si="19"/>
      </c>
      <c r="C181" s="47">
        <f t="shared" si="20"/>
      </c>
      <c r="D181" s="9">
        <f t="shared" si="21"/>
      </c>
      <c r="E181" s="48">
        <f t="shared" si="22"/>
      </c>
      <c r="F181" s="8">
        <f t="shared" si="23"/>
      </c>
    </row>
    <row r="182" spans="1:6" ht="12.75">
      <c r="A182" s="66">
        <f t="shared" si="18"/>
      </c>
      <c r="B182" s="8">
        <f t="shared" si="19"/>
      </c>
      <c r="C182" s="47">
        <f t="shared" si="20"/>
      </c>
      <c r="D182" s="9">
        <f t="shared" si="21"/>
      </c>
      <c r="E182" s="48">
        <f t="shared" si="22"/>
      </c>
      <c r="F182" s="8">
        <f t="shared" si="23"/>
      </c>
    </row>
    <row r="183" spans="1:6" ht="12.75">
      <c r="A183" s="66">
        <f t="shared" si="18"/>
      </c>
      <c r="B183" s="8">
        <f t="shared" si="19"/>
      </c>
      <c r="C183" s="47">
        <f t="shared" si="20"/>
      </c>
      <c r="D183" s="9">
        <f t="shared" si="21"/>
      </c>
      <c r="E183" s="48">
        <f t="shared" si="22"/>
      </c>
      <c r="F183" s="8">
        <f t="shared" si="23"/>
      </c>
    </row>
    <row r="184" spans="1:6" ht="12.75">
      <c r="A184" s="66">
        <f t="shared" si="18"/>
      </c>
      <c r="B184" s="8">
        <f t="shared" si="19"/>
      </c>
      <c r="C184" s="47">
        <f t="shared" si="20"/>
      </c>
      <c r="D184" s="9">
        <f t="shared" si="21"/>
      </c>
      <c r="E184" s="48">
        <f t="shared" si="22"/>
      </c>
      <c r="F184" s="8">
        <f t="shared" si="23"/>
      </c>
    </row>
    <row r="185" spans="1:6" ht="12.75">
      <c r="A185" s="66">
        <f t="shared" si="18"/>
      </c>
      <c r="B185" s="8">
        <f t="shared" si="19"/>
      </c>
      <c r="C185" s="47">
        <f t="shared" si="20"/>
      </c>
      <c r="D185" s="9">
        <f t="shared" si="21"/>
      </c>
      <c r="E185" s="48">
        <f t="shared" si="22"/>
      </c>
      <c r="F185" s="8">
        <f t="shared" si="23"/>
      </c>
    </row>
    <row r="186" spans="1:6" ht="12.75">
      <c r="A186" s="66">
        <f t="shared" si="18"/>
      </c>
      <c r="B186" s="8">
        <f t="shared" si="19"/>
      </c>
      <c r="C186" s="47">
        <f t="shared" si="20"/>
      </c>
      <c r="D186" s="9">
        <f t="shared" si="21"/>
      </c>
      <c r="E186" s="48">
        <f t="shared" si="22"/>
      </c>
      <c r="F186" s="8">
        <f t="shared" si="23"/>
      </c>
    </row>
    <row r="187" spans="1:6" ht="12.75">
      <c r="A187" s="66">
        <f t="shared" si="18"/>
      </c>
      <c r="B187" s="8">
        <f t="shared" si="19"/>
      </c>
      <c r="C187" s="47">
        <f t="shared" si="20"/>
      </c>
      <c r="D187" s="9">
        <f t="shared" si="21"/>
      </c>
      <c r="E187" s="48">
        <f t="shared" si="22"/>
      </c>
      <c r="F187" s="8">
        <f t="shared" si="23"/>
      </c>
    </row>
    <row r="188" spans="1:6" ht="12.75">
      <c r="A188" s="66">
        <f t="shared" si="18"/>
      </c>
      <c r="B188" s="8">
        <f t="shared" si="19"/>
      </c>
      <c r="C188" s="47">
        <f t="shared" si="20"/>
      </c>
      <c r="D188" s="9">
        <f t="shared" si="21"/>
      </c>
      <c r="E188" s="48">
        <f t="shared" si="22"/>
      </c>
      <c r="F188" s="8">
        <f t="shared" si="23"/>
      </c>
    </row>
    <row r="189" spans="1:6" ht="12.75">
      <c r="A189" s="66">
        <f t="shared" si="18"/>
      </c>
      <c r="B189" s="8">
        <f t="shared" si="19"/>
      </c>
      <c r="C189" s="47">
        <f t="shared" si="20"/>
      </c>
      <c r="D189" s="9">
        <f t="shared" si="21"/>
      </c>
      <c r="E189" s="48">
        <f t="shared" si="22"/>
      </c>
      <c r="F189" s="8">
        <f t="shared" si="23"/>
      </c>
    </row>
    <row r="190" spans="1:6" ht="12.75">
      <c r="A190" s="66">
        <f t="shared" si="18"/>
      </c>
      <c r="B190" s="8">
        <f t="shared" si="19"/>
      </c>
      <c r="C190" s="47">
        <f t="shared" si="20"/>
      </c>
      <c r="D190" s="9">
        <f t="shared" si="21"/>
      </c>
      <c r="E190" s="48">
        <f t="shared" si="22"/>
      </c>
      <c r="F190" s="8">
        <f t="shared" si="23"/>
      </c>
    </row>
    <row r="191" spans="1:6" ht="12.75">
      <c r="A191" s="66">
        <f t="shared" si="18"/>
      </c>
      <c r="B191" s="8">
        <f t="shared" si="19"/>
      </c>
      <c r="C191" s="47">
        <f t="shared" si="20"/>
      </c>
      <c r="D191" s="9">
        <f t="shared" si="21"/>
      </c>
      <c r="E191" s="48">
        <f t="shared" si="22"/>
      </c>
      <c r="F191" s="8">
        <f t="shared" si="23"/>
      </c>
    </row>
    <row r="192" spans="1:6" ht="12.75">
      <c r="A192" s="66">
        <f t="shared" si="18"/>
      </c>
      <c r="B192" s="8">
        <f t="shared" si="19"/>
      </c>
      <c r="C192" s="47">
        <f t="shared" si="20"/>
      </c>
      <c r="D192" s="9">
        <f t="shared" si="21"/>
      </c>
      <c r="E192" s="48">
        <f t="shared" si="22"/>
      </c>
      <c r="F192" s="8">
        <f t="shared" si="23"/>
      </c>
    </row>
    <row r="193" spans="1:6" ht="12.75">
      <c r="A193" s="66">
        <f t="shared" si="18"/>
      </c>
      <c r="B193" s="8">
        <f t="shared" si="19"/>
      </c>
      <c r="C193" s="47">
        <f t="shared" si="20"/>
      </c>
      <c r="D193" s="9">
        <f t="shared" si="21"/>
      </c>
      <c r="E193" s="48">
        <f t="shared" si="22"/>
      </c>
      <c r="F193" s="8">
        <f t="shared" si="23"/>
      </c>
    </row>
    <row r="194" spans="1:6" ht="12.75">
      <c r="A194" s="66">
        <f t="shared" si="18"/>
      </c>
      <c r="B194" s="8">
        <f t="shared" si="19"/>
      </c>
      <c r="C194" s="47">
        <f t="shared" si="20"/>
      </c>
      <c r="D194" s="9">
        <f t="shared" si="21"/>
      </c>
      <c r="E194" s="48">
        <f t="shared" si="22"/>
      </c>
      <c r="F194" s="8">
        <f t="shared" si="23"/>
      </c>
    </row>
    <row r="195" spans="1:6" ht="12.75">
      <c r="A195" s="66">
        <f t="shared" si="18"/>
      </c>
      <c r="B195" s="8">
        <f t="shared" si="19"/>
      </c>
      <c r="C195" s="47">
        <f t="shared" si="20"/>
      </c>
      <c r="D195" s="9">
        <f t="shared" si="21"/>
      </c>
      <c r="E195" s="48">
        <f t="shared" si="22"/>
      </c>
      <c r="F195" s="8">
        <f t="shared" si="23"/>
      </c>
    </row>
    <row r="196" spans="1:6" ht="12.75">
      <c r="A196" s="66">
        <f t="shared" si="18"/>
      </c>
      <c r="B196" s="8">
        <f t="shared" si="19"/>
      </c>
      <c r="C196" s="47">
        <f t="shared" si="20"/>
      </c>
      <c r="D196" s="9">
        <f t="shared" si="21"/>
      </c>
      <c r="E196" s="48">
        <f t="shared" si="22"/>
      </c>
      <c r="F196" s="8">
        <f t="shared" si="23"/>
      </c>
    </row>
    <row r="197" spans="1:6" ht="12.75">
      <c r="A197" s="66">
        <f t="shared" si="18"/>
      </c>
      <c r="B197" s="8">
        <f t="shared" si="19"/>
      </c>
      <c r="C197" s="47">
        <f t="shared" si="20"/>
      </c>
      <c r="D197" s="9">
        <f t="shared" si="21"/>
      </c>
      <c r="E197" s="48">
        <f t="shared" si="22"/>
      </c>
      <c r="F197" s="8">
        <f t="shared" si="23"/>
      </c>
    </row>
    <row r="198" spans="1:6" ht="12.75">
      <c r="A198" s="66">
        <f t="shared" si="18"/>
      </c>
      <c r="B198" s="8">
        <f t="shared" si="19"/>
      </c>
      <c r="C198" s="47">
        <f t="shared" si="20"/>
      </c>
      <c r="D198" s="9">
        <f t="shared" si="21"/>
      </c>
      <c r="E198" s="48">
        <f t="shared" si="22"/>
      </c>
      <c r="F198" s="8">
        <f t="shared" si="23"/>
      </c>
    </row>
    <row r="199" spans="1:6" ht="12.75">
      <c r="A199" s="66">
        <f t="shared" si="18"/>
      </c>
      <c r="B199" s="8">
        <f t="shared" si="19"/>
      </c>
      <c r="C199" s="47">
        <f t="shared" si="20"/>
      </c>
      <c r="D199" s="9">
        <f t="shared" si="21"/>
      </c>
      <c r="E199" s="48">
        <f t="shared" si="22"/>
      </c>
      <c r="F199" s="8">
        <f t="shared" si="23"/>
      </c>
    </row>
    <row r="200" spans="1:6" ht="12.75">
      <c r="A200" s="66">
        <f t="shared" si="18"/>
      </c>
      <c r="B200" s="8">
        <f t="shared" si="19"/>
      </c>
      <c r="C200" s="47">
        <f t="shared" si="20"/>
      </c>
      <c r="D200" s="9">
        <f t="shared" si="21"/>
      </c>
      <c r="E200" s="48">
        <f t="shared" si="22"/>
      </c>
      <c r="F200" s="8">
        <f t="shared" si="23"/>
      </c>
    </row>
    <row r="201" spans="1:6" ht="12.75">
      <c r="A201" s="66">
        <f t="shared" si="18"/>
      </c>
      <c r="B201" s="8">
        <f t="shared" si="19"/>
      </c>
      <c r="C201" s="47">
        <f t="shared" si="20"/>
      </c>
      <c r="D201" s="9">
        <f t="shared" si="21"/>
      </c>
      <c r="E201" s="48">
        <f t="shared" si="22"/>
      </c>
      <c r="F201" s="8">
        <f t="shared" si="23"/>
      </c>
    </row>
    <row r="202" spans="1:6" ht="12.75">
      <c r="A202" s="66">
        <f t="shared" si="18"/>
      </c>
      <c r="B202" s="8">
        <f t="shared" si="19"/>
      </c>
      <c r="C202" s="47">
        <f t="shared" si="20"/>
      </c>
      <c r="D202" s="9">
        <f t="shared" si="21"/>
      </c>
      <c r="E202" s="48">
        <f t="shared" si="22"/>
      </c>
      <c r="F202" s="8">
        <f t="shared" si="23"/>
      </c>
    </row>
    <row r="203" spans="1:6" ht="12.75">
      <c r="A203" s="66">
        <f t="shared" si="18"/>
      </c>
      <c r="B203" s="8">
        <f t="shared" si="19"/>
      </c>
      <c r="C203" s="47">
        <f t="shared" si="20"/>
      </c>
      <c r="D203" s="9">
        <f t="shared" si="21"/>
      </c>
      <c r="E203" s="48">
        <f t="shared" si="22"/>
      </c>
      <c r="F203" s="8">
        <f t="shared" si="23"/>
      </c>
    </row>
    <row r="204" spans="1:6" ht="12.75">
      <c r="A204" s="66">
        <f t="shared" si="18"/>
      </c>
      <c r="B204" s="8">
        <f t="shared" si="19"/>
      </c>
      <c r="C204" s="47">
        <f t="shared" si="20"/>
      </c>
      <c r="D204" s="9">
        <f t="shared" si="21"/>
      </c>
      <c r="E204" s="48">
        <f t="shared" si="22"/>
      </c>
      <c r="F204" s="8">
        <f t="shared" si="23"/>
      </c>
    </row>
    <row r="205" spans="1:6" ht="12.75">
      <c r="A205" s="66">
        <f t="shared" si="18"/>
      </c>
      <c r="B205" s="8">
        <f t="shared" si="19"/>
      </c>
      <c r="C205" s="47">
        <f t="shared" si="20"/>
      </c>
      <c r="D205" s="9">
        <f t="shared" si="21"/>
      </c>
      <c r="E205" s="48">
        <f t="shared" si="22"/>
      </c>
      <c r="F205" s="8">
        <f t="shared" si="23"/>
      </c>
    </row>
    <row r="206" spans="1:6" ht="12.75">
      <c r="A206" s="66">
        <f t="shared" si="18"/>
      </c>
      <c r="B206" s="8">
        <f t="shared" si="19"/>
      </c>
      <c r="C206" s="47">
        <f t="shared" si="20"/>
      </c>
      <c r="D206" s="9">
        <f t="shared" si="21"/>
      </c>
      <c r="E206" s="48">
        <f t="shared" si="22"/>
      </c>
      <c r="F206" s="8">
        <f t="shared" si="23"/>
      </c>
    </row>
    <row r="207" spans="1:6" ht="12.75">
      <c r="A207" s="66">
        <f t="shared" si="18"/>
      </c>
      <c r="B207" s="8">
        <f t="shared" si="19"/>
      </c>
      <c r="C207" s="47">
        <f t="shared" si="20"/>
      </c>
      <c r="D207" s="9">
        <f t="shared" si="21"/>
      </c>
      <c r="E207" s="48">
        <f t="shared" si="22"/>
      </c>
      <c r="F207" s="8">
        <f t="shared" si="23"/>
      </c>
    </row>
    <row r="208" spans="1:6" ht="12.75">
      <c r="A208" s="66">
        <f t="shared" si="18"/>
      </c>
      <c r="B208" s="8">
        <f t="shared" si="19"/>
      </c>
      <c r="C208" s="47">
        <f t="shared" si="20"/>
      </c>
      <c r="D208" s="9">
        <f t="shared" si="21"/>
      </c>
      <c r="E208" s="48">
        <f t="shared" si="22"/>
      </c>
      <c r="F208" s="8">
        <f t="shared" si="23"/>
      </c>
    </row>
    <row r="209" spans="1:6" ht="12.75">
      <c r="A209" s="66">
        <f t="shared" si="18"/>
      </c>
      <c r="B209" s="8">
        <f t="shared" si="19"/>
      </c>
      <c r="C209" s="47">
        <f t="shared" si="20"/>
      </c>
      <c r="D209" s="9">
        <f t="shared" si="21"/>
      </c>
      <c r="E209" s="48">
        <f t="shared" si="22"/>
      </c>
      <c r="F209" s="8">
        <f t="shared" si="23"/>
      </c>
    </row>
    <row r="210" spans="1:6" ht="12.75">
      <c r="A210" s="66">
        <f t="shared" si="18"/>
      </c>
      <c r="B210" s="8">
        <f t="shared" si="19"/>
      </c>
      <c r="C210" s="47">
        <f t="shared" si="20"/>
      </c>
      <c r="D210" s="9">
        <f t="shared" si="21"/>
      </c>
      <c r="E210" s="48">
        <f t="shared" si="22"/>
      </c>
      <c r="F210" s="8">
        <f t="shared" si="23"/>
      </c>
    </row>
    <row r="211" spans="1:6" ht="12.75">
      <c r="A211" s="66">
        <f t="shared" si="18"/>
      </c>
      <c r="B211" s="8">
        <f t="shared" si="19"/>
      </c>
      <c r="C211" s="47">
        <f t="shared" si="20"/>
      </c>
      <c r="D211" s="9">
        <f t="shared" si="21"/>
      </c>
      <c r="E211" s="48">
        <f t="shared" si="22"/>
      </c>
      <c r="F211" s="8">
        <f t="shared" si="23"/>
      </c>
    </row>
    <row r="212" spans="1:6" ht="12.75">
      <c r="A212" s="66">
        <f t="shared" si="18"/>
      </c>
      <c r="B212" s="8">
        <f t="shared" si="19"/>
      </c>
      <c r="C212" s="47">
        <f t="shared" si="20"/>
      </c>
      <c r="D212" s="9">
        <f t="shared" si="21"/>
      </c>
      <c r="E212" s="48">
        <f t="shared" si="22"/>
      </c>
      <c r="F212" s="8">
        <f t="shared" si="23"/>
      </c>
    </row>
    <row r="213" spans="1:6" ht="12.75">
      <c r="A213" s="66">
        <f t="shared" si="18"/>
      </c>
      <c r="B213" s="8">
        <f t="shared" si="19"/>
      </c>
      <c r="C213" s="47">
        <f t="shared" si="20"/>
      </c>
      <c r="D213" s="9">
        <f t="shared" si="21"/>
      </c>
      <c r="E213" s="48">
        <f t="shared" si="22"/>
      </c>
      <c r="F213" s="8">
        <f t="shared" si="23"/>
      </c>
    </row>
    <row r="214" spans="1:6" ht="12.75">
      <c r="A214" s="66">
        <f t="shared" si="18"/>
      </c>
      <c r="B214" s="8">
        <f t="shared" si="19"/>
      </c>
      <c r="C214" s="47">
        <f t="shared" si="20"/>
      </c>
      <c r="D214" s="9">
        <f t="shared" si="21"/>
      </c>
      <c r="E214" s="48">
        <f t="shared" si="22"/>
      </c>
      <c r="F214" s="8">
        <f t="shared" si="23"/>
      </c>
    </row>
    <row r="215" spans="1:6" ht="12.75">
      <c r="A215" s="66">
        <f t="shared" si="18"/>
      </c>
      <c r="B215" s="8">
        <f t="shared" si="19"/>
      </c>
      <c r="C215" s="47">
        <f t="shared" si="20"/>
      </c>
      <c r="D215" s="9">
        <f t="shared" si="21"/>
      </c>
      <c r="E215" s="48">
        <f t="shared" si="22"/>
      </c>
      <c r="F215" s="8">
        <f t="shared" si="23"/>
      </c>
    </row>
    <row r="216" spans="1:6" ht="12.75">
      <c r="A216" s="66">
        <f t="shared" si="18"/>
      </c>
      <c r="B216" s="8">
        <f t="shared" si="19"/>
      </c>
      <c r="C216" s="47">
        <f t="shared" si="20"/>
      </c>
      <c r="D216" s="9">
        <f t="shared" si="21"/>
      </c>
      <c r="E216" s="48">
        <f t="shared" si="22"/>
      </c>
      <c r="F216" s="8">
        <f t="shared" si="23"/>
      </c>
    </row>
    <row r="217" spans="1:6" ht="12.75">
      <c r="A217" s="66">
        <f t="shared" si="18"/>
      </c>
      <c r="B217" s="8">
        <f t="shared" si="19"/>
      </c>
      <c r="C217" s="47">
        <f t="shared" si="20"/>
      </c>
      <c r="D217" s="9">
        <f t="shared" si="21"/>
      </c>
      <c r="E217" s="48">
        <f t="shared" si="22"/>
      </c>
      <c r="F217" s="8">
        <f t="shared" si="23"/>
      </c>
    </row>
    <row r="218" spans="1:6" ht="12.75">
      <c r="A218" s="66">
        <f aca="true" t="shared" si="24" ref="A218:A275">F218</f>
      </c>
      <c r="B218" s="8">
        <f aca="true" t="shared" si="25" ref="B218:B275">IF(F217="","",IF(F217=1,"",E217))</f>
      </c>
      <c r="C218" s="47">
        <f aca="true" t="shared" si="26" ref="C218:C275">IF(F217="","",IF(F217=1,"",D217))</f>
      </c>
      <c r="D218" s="9">
        <f aca="true" t="shared" si="27" ref="D218:D275">IF(F217="","",IF(F217=1,"",SQRT(1/(-2*LOG(($C$9/3.7)+(2.51/($C$10*SQRT(B218)))))^-2)))</f>
      </c>
      <c r="E218" s="48">
        <f aca="true" t="shared" si="28" ref="E218:E275">IF(F217="","",IF(F217=1,"",POWER((-2*LOG(($C$9/3.7)+(2.51/($C$10*SQRT(B218))))),-2)))</f>
      </c>
      <c r="F218" s="8">
        <f aca="true" t="shared" si="29" ref="F218:F275">IF(F217="","",IF(F217=1,"",IF((ABS(E218-B218)&lt;=0.00000001),1,0)))</f>
      </c>
    </row>
    <row r="219" spans="1:6" ht="12.75">
      <c r="A219" s="66">
        <f t="shared" si="24"/>
      </c>
      <c r="B219" s="8">
        <f t="shared" si="25"/>
      </c>
      <c r="C219" s="47">
        <f t="shared" si="26"/>
      </c>
      <c r="D219" s="9">
        <f t="shared" si="27"/>
      </c>
      <c r="E219" s="48">
        <f t="shared" si="28"/>
      </c>
      <c r="F219" s="8">
        <f t="shared" si="29"/>
      </c>
    </row>
    <row r="220" spans="1:6" ht="12.75">
      <c r="A220" s="66">
        <f t="shared" si="24"/>
      </c>
      <c r="B220" s="8">
        <f t="shared" si="25"/>
      </c>
      <c r="C220" s="47">
        <f t="shared" si="26"/>
      </c>
      <c r="D220" s="9">
        <f t="shared" si="27"/>
      </c>
      <c r="E220" s="48">
        <f t="shared" si="28"/>
      </c>
      <c r="F220" s="8">
        <f t="shared" si="29"/>
      </c>
    </row>
    <row r="221" spans="1:6" ht="12.75">
      <c r="A221" s="66">
        <f t="shared" si="24"/>
      </c>
      <c r="B221" s="8">
        <f t="shared" si="25"/>
      </c>
      <c r="C221" s="47">
        <f t="shared" si="26"/>
      </c>
      <c r="D221" s="9">
        <f t="shared" si="27"/>
      </c>
      <c r="E221" s="48">
        <f t="shared" si="28"/>
      </c>
      <c r="F221" s="8">
        <f t="shared" si="29"/>
      </c>
    </row>
    <row r="222" spans="1:6" ht="12.75">
      <c r="A222" s="66">
        <f t="shared" si="24"/>
      </c>
      <c r="B222" s="8">
        <f t="shared" si="25"/>
      </c>
      <c r="C222" s="47">
        <f t="shared" si="26"/>
      </c>
      <c r="D222" s="9">
        <f t="shared" si="27"/>
      </c>
      <c r="E222" s="48">
        <f t="shared" si="28"/>
      </c>
      <c r="F222" s="8">
        <f t="shared" si="29"/>
      </c>
    </row>
    <row r="223" spans="1:6" ht="12.75">
      <c r="A223" s="66">
        <f t="shared" si="24"/>
      </c>
      <c r="B223" s="8">
        <f t="shared" si="25"/>
      </c>
      <c r="C223" s="47">
        <f t="shared" si="26"/>
      </c>
      <c r="D223" s="9">
        <f t="shared" si="27"/>
      </c>
      <c r="E223" s="48">
        <f t="shared" si="28"/>
      </c>
      <c r="F223" s="8">
        <f t="shared" si="29"/>
      </c>
    </row>
    <row r="224" spans="1:6" ht="12.75">
      <c r="A224" s="66">
        <f t="shared" si="24"/>
      </c>
      <c r="B224" s="8">
        <f t="shared" si="25"/>
      </c>
      <c r="C224" s="47">
        <f t="shared" si="26"/>
      </c>
      <c r="D224" s="9">
        <f t="shared" si="27"/>
      </c>
      <c r="E224" s="48">
        <f t="shared" si="28"/>
      </c>
      <c r="F224" s="8">
        <f t="shared" si="29"/>
      </c>
    </row>
    <row r="225" spans="1:6" ht="12.75">
      <c r="A225" s="66">
        <f t="shared" si="24"/>
      </c>
      <c r="B225" s="8">
        <f t="shared" si="25"/>
      </c>
      <c r="C225" s="47">
        <f t="shared" si="26"/>
      </c>
      <c r="D225" s="9">
        <f t="shared" si="27"/>
      </c>
      <c r="E225" s="48">
        <f t="shared" si="28"/>
      </c>
      <c r="F225" s="8">
        <f t="shared" si="29"/>
      </c>
    </row>
    <row r="226" spans="1:6" ht="12.75">
      <c r="A226" s="66">
        <f t="shared" si="24"/>
      </c>
      <c r="B226" s="8">
        <f t="shared" si="25"/>
      </c>
      <c r="C226" s="47">
        <f t="shared" si="26"/>
      </c>
      <c r="D226" s="9">
        <f t="shared" si="27"/>
      </c>
      <c r="E226" s="48">
        <f t="shared" si="28"/>
      </c>
      <c r="F226" s="8">
        <f t="shared" si="29"/>
      </c>
    </row>
    <row r="227" spans="1:6" ht="12.75">
      <c r="A227" s="66">
        <f t="shared" si="24"/>
      </c>
      <c r="B227" s="8">
        <f t="shared" si="25"/>
      </c>
      <c r="C227" s="47">
        <f t="shared" si="26"/>
      </c>
      <c r="D227" s="9">
        <f t="shared" si="27"/>
      </c>
      <c r="E227" s="48">
        <f t="shared" si="28"/>
      </c>
      <c r="F227" s="8">
        <f t="shared" si="29"/>
      </c>
    </row>
    <row r="228" spans="1:6" ht="12.75">
      <c r="A228" s="66">
        <f t="shared" si="24"/>
      </c>
      <c r="B228" s="8">
        <f t="shared" si="25"/>
      </c>
      <c r="C228" s="47">
        <f t="shared" si="26"/>
      </c>
      <c r="D228" s="9">
        <f t="shared" si="27"/>
      </c>
      <c r="E228" s="48">
        <f t="shared" si="28"/>
      </c>
      <c r="F228" s="8">
        <f t="shared" si="29"/>
      </c>
    </row>
    <row r="229" spans="1:6" ht="12.75">
      <c r="A229" s="66">
        <f t="shared" si="24"/>
      </c>
      <c r="B229" s="8">
        <f t="shared" si="25"/>
      </c>
      <c r="C229" s="47">
        <f t="shared" si="26"/>
      </c>
      <c r="D229" s="9">
        <f t="shared" si="27"/>
      </c>
      <c r="E229" s="48">
        <f t="shared" si="28"/>
      </c>
      <c r="F229" s="8">
        <f t="shared" si="29"/>
      </c>
    </row>
    <row r="230" spans="1:6" ht="12.75">
      <c r="A230" s="66">
        <f t="shared" si="24"/>
      </c>
      <c r="B230" s="8">
        <f t="shared" si="25"/>
      </c>
      <c r="C230" s="47">
        <f t="shared" si="26"/>
      </c>
      <c r="D230" s="9">
        <f t="shared" si="27"/>
      </c>
      <c r="E230" s="48">
        <f t="shared" si="28"/>
      </c>
      <c r="F230" s="8">
        <f t="shared" si="29"/>
      </c>
    </row>
    <row r="231" spans="1:6" ht="12.75">
      <c r="A231" s="66">
        <f t="shared" si="24"/>
      </c>
      <c r="B231" s="8">
        <f t="shared" si="25"/>
      </c>
      <c r="C231" s="47">
        <f t="shared" si="26"/>
      </c>
      <c r="D231" s="9">
        <f t="shared" si="27"/>
      </c>
      <c r="E231" s="48">
        <f t="shared" si="28"/>
      </c>
      <c r="F231" s="8">
        <f t="shared" si="29"/>
      </c>
    </row>
    <row r="232" spans="1:6" ht="12.75">
      <c r="A232" s="66">
        <f t="shared" si="24"/>
      </c>
      <c r="B232" s="8">
        <f t="shared" si="25"/>
      </c>
      <c r="C232" s="47">
        <f t="shared" si="26"/>
      </c>
      <c r="D232" s="9">
        <f t="shared" si="27"/>
      </c>
      <c r="E232" s="48">
        <f t="shared" si="28"/>
      </c>
      <c r="F232" s="8">
        <f t="shared" si="29"/>
      </c>
    </row>
    <row r="233" spans="1:6" ht="12.75">
      <c r="A233" s="66">
        <f t="shared" si="24"/>
      </c>
      <c r="B233" s="8">
        <f t="shared" si="25"/>
      </c>
      <c r="C233" s="47">
        <f t="shared" si="26"/>
      </c>
      <c r="D233" s="9">
        <f t="shared" si="27"/>
      </c>
      <c r="E233" s="48">
        <f t="shared" si="28"/>
      </c>
      <c r="F233" s="8">
        <f t="shared" si="29"/>
      </c>
    </row>
    <row r="234" spans="1:6" ht="12.75">
      <c r="A234" s="66">
        <f t="shared" si="24"/>
      </c>
      <c r="B234" s="8">
        <f t="shared" si="25"/>
      </c>
      <c r="C234" s="47">
        <f t="shared" si="26"/>
      </c>
      <c r="D234" s="9">
        <f t="shared" si="27"/>
      </c>
      <c r="E234" s="48">
        <f t="shared" si="28"/>
      </c>
      <c r="F234" s="8">
        <f t="shared" si="29"/>
      </c>
    </row>
    <row r="235" spans="1:6" ht="12.75">
      <c r="A235" s="66">
        <f t="shared" si="24"/>
      </c>
      <c r="B235" s="8">
        <f t="shared" si="25"/>
      </c>
      <c r="C235" s="47">
        <f t="shared" si="26"/>
      </c>
      <c r="D235" s="9">
        <f t="shared" si="27"/>
      </c>
      <c r="E235" s="48">
        <f t="shared" si="28"/>
      </c>
      <c r="F235" s="8">
        <f t="shared" si="29"/>
      </c>
    </row>
    <row r="236" spans="1:6" ht="12.75">
      <c r="A236" s="66">
        <f t="shared" si="24"/>
      </c>
      <c r="B236" s="8">
        <f t="shared" si="25"/>
      </c>
      <c r="C236" s="47">
        <f t="shared" si="26"/>
      </c>
      <c r="D236" s="9">
        <f t="shared" si="27"/>
      </c>
      <c r="E236" s="48">
        <f t="shared" si="28"/>
      </c>
      <c r="F236" s="8">
        <f t="shared" si="29"/>
      </c>
    </row>
    <row r="237" spans="1:6" ht="12.75">
      <c r="A237" s="66">
        <f t="shared" si="24"/>
      </c>
      <c r="B237" s="8">
        <f t="shared" si="25"/>
      </c>
      <c r="C237" s="47">
        <f t="shared" si="26"/>
      </c>
      <c r="D237" s="9">
        <f t="shared" si="27"/>
      </c>
      <c r="E237" s="48">
        <f t="shared" si="28"/>
      </c>
      <c r="F237" s="8">
        <f t="shared" si="29"/>
      </c>
    </row>
    <row r="238" spans="1:6" ht="12.75">
      <c r="A238" s="66">
        <f t="shared" si="24"/>
      </c>
      <c r="B238" s="8">
        <f t="shared" si="25"/>
      </c>
      <c r="C238" s="47">
        <f t="shared" si="26"/>
      </c>
      <c r="D238" s="9">
        <f t="shared" si="27"/>
      </c>
      <c r="E238" s="48">
        <f t="shared" si="28"/>
      </c>
      <c r="F238" s="8">
        <f t="shared" si="29"/>
      </c>
    </row>
    <row r="239" spans="1:6" ht="12.75">
      <c r="A239" s="66">
        <f t="shared" si="24"/>
      </c>
      <c r="B239" s="8">
        <f t="shared" si="25"/>
      </c>
      <c r="C239" s="47">
        <f t="shared" si="26"/>
      </c>
      <c r="D239" s="9">
        <f t="shared" si="27"/>
      </c>
      <c r="E239" s="48">
        <f t="shared" si="28"/>
      </c>
      <c r="F239" s="8">
        <f t="shared" si="29"/>
      </c>
    </row>
    <row r="240" spans="1:6" ht="12.75">
      <c r="A240" s="66">
        <f t="shared" si="24"/>
      </c>
      <c r="B240" s="8">
        <f t="shared" si="25"/>
      </c>
      <c r="C240" s="47">
        <f t="shared" si="26"/>
      </c>
      <c r="D240" s="9">
        <f t="shared" si="27"/>
      </c>
      <c r="E240" s="48">
        <f t="shared" si="28"/>
      </c>
      <c r="F240" s="8">
        <f t="shared" si="29"/>
      </c>
    </row>
    <row r="241" spans="1:6" ht="12.75">
      <c r="A241" s="66">
        <f t="shared" si="24"/>
      </c>
      <c r="B241" s="8">
        <f t="shared" si="25"/>
      </c>
      <c r="C241" s="47">
        <f t="shared" si="26"/>
      </c>
      <c r="D241" s="9">
        <f t="shared" si="27"/>
      </c>
      <c r="E241" s="48">
        <f t="shared" si="28"/>
      </c>
      <c r="F241" s="8">
        <f t="shared" si="29"/>
      </c>
    </row>
    <row r="242" spans="1:6" ht="12.75">
      <c r="A242" s="66">
        <f t="shared" si="24"/>
      </c>
      <c r="B242" s="8">
        <f t="shared" si="25"/>
      </c>
      <c r="C242" s="47">
        <f t="shared" si="26"/>
      </c>
      <c r="D242" s="9">
        <f t="shared" si="27"/>
      </c>
      <c r="E242" s="48">
        <f t="shared" si="28"/>
      </c>
      <c r="F242" s="8">
        <f t="shared" si="29"/>
      </c>
    </row>
    <row r="243" spans="1:6" ht="12.75">
      <c r="A243" s="66">
        <f t="shared" si="24"/>
      </c>
      <c r="B243" s="8">
        <f t="shared" si="25"/>
      </c>
      <c r="C243" s="47">
        <f t="shared" si="26"/>
      </c>
      <c r="D243" s="9">
        <f t="shared" si="27"/>
      </c>
      <c r="E243" s="48">
        <f t="shared" si="28"/>
      </c>
      <c r="F243" s="8">
        <f t="shared" si="29"/>
      </c>
    </row>
    <row r="244" spans="1:6" ht="12.75">
      <c r="A244" s="66">
        <f t="shared" si="24"/>
      </c>
      <c r="B244" s="8">
        <f t="shared" si="25"/>
      </c>
      <c r="C244" s="47">
        <f t="shared" si="26"/>
      </c>
      <c r="D244" s="9">
        <f t="shared" si="27"/>
      </c>
      <c r="E244" s="48">
        <f t="shared" si="28"/>
      </c>
      <c r="F244" s="8">
        <f t="shared" si="29"/>
      </c>
    </row>
    <row r="245" spans="1:6" ht="12.75">
      <c r="A245" s="66">
        <f t="shared" si="24"/>
      </c>
      <c r="B245" s="8">
        <f t="shared" si="25"/>
      </c>
      <c r="C245" s="47">
        <f t="shared" si="26"/>
      </c>
      <c r="D245" s="9">
        <f t="shared" si="27"/>
      </c>
      <c r="E245" s="48">
        <f t="shared" si="28"/>
      </c>
      <c r="F245" s="8">
        <f t="shared" si="29"/>
      </c>
    </row>
    <row r="246" spans="1:6" ht="12.75">
      <c r="A246" s="66">
        <f t="shared" si="24"/>
      </c>
      <c r="B246" s="8">
        <f t="shared" si="25"/>
      </c>
      <c r="C246" s="47">
        <f t="shared" si="26"/>
      </c>
      <c r="D246" s="9">
        <f t="shared" si="27"/>
      </c>
      <c r="E246" s="48">
        <f t="shared" si="28"/>
      </c>
      <c r="F246" s="8">
        <f t="shared" si="29"/>
      </c>
    </row>
    <row r="247" spans="1:6" ht="12.75">
      <c r="A247" s="66">
        <f t="shared" si="24"/>
      </c>
      <c r="B247" s="8">
        <f t="shared" si="25"/>
      </c>
      <c r="C247" s="47">
        <f t="shared" si="26"/>
      </c>
      <c r="D247" s="9">
        <f t="shared" si="27"/>
      </c>
      <c r="E247" s="48">
        <f t="shared" si="28"/>
      </c>
      <c r="F247" s="8">
        <f t="shared" si="29"/>
      </c>
    </row>
    <row r="248" spans="1:6" ht="12.75">
      <c r="A248" s="66">
        <f t="shared" si="24"/>
      </c>
      <c r="B248" s="8">
        <f t="shared" si="25"/>
      </c>
      <c r="C248" s="47">
        <f t="shared" si="26"/>
      </c>
      <c r="D248" s="9">
        <f t="shared" si="27"/>
      </c>
      <c r="E248" s="48">
        <f t="shared" si="28"/>
      </c>
      <c r="F248" s="8">
        <f t="shared" si="29"/>
      </c>
    </row>
    <row r="249" spans="1:6" ht="12.75">
      <c r="A249" s="66">
        <f t="shared" si="24"/>
      </c>
      <c r="B249" s="8">
        <f t="shared" si="25"/>
      </c>
      <c r="C249" s="47">
        <f t="shared" si="26"/>
      </c>
      <c r="D249" s="9">
        <f t="shared" si="27"/>
      </c>
      <c r="E249" s="48">
        <f t="shared" si="28"/>
      </c>
      <c r="F249" s="8">
        <f t="shared" si="29"/>
      </c>
    </row>
    <row r="250" spans="1:6" ht="12.75">
      <c r="A250" s="66">
        <f t="shared" si="24"/>
      </c>
      <c r="B250" s="8">
        <f t="shared" si="25"/>
      </c>
      <c r="C250" s="47">
        <f t="shared" si="26"/>
      </c>
      <c r="D250" s="9">
        <f t="shared" si="27"/>
      </c>
      <c r="E250" s="48">
        <f t="shared" si="28"/>
      </c>
      <c r="F250" s="8">
        <f t="shared" si="29"/>
      </c>
    </row>
    <row r="251" spans="1:6" ht="12.75">
      <c r="A251" s="66">
        <f t="shared" si="24"/>
      </c>
      <c r="B251" s="8">
        <f t="shared" si="25"/>
      </c>
      <c r="C251" s="47">
        <f t="shared" si="26"/>
      </c>
      <c r="D251" s="9">
        <f t="shared" si="27"/>
      </c>
      <c r="E251" s="48">
        <f t="shared" si="28"/>
      </c>
      <c r="F251" s="8">
        <f t="shared" si="29"/>
      </c>
    </row>
    <row r="252" spans="1:6" ht="12.75">
      <c r="A252" s="66">
        <f t="shared" si="24"/>
      </c>
      <c r="B252" s="8">
        <f t="shared" si="25"/>
      </c>
      <c r="C252" s="47">
        <f t="shared" si="26"/>
      </c>
      <c r="D252" s="9">
        <f t="shared" si="27"/>
      </c>
      <c r="E252" s="48">
        <f t="shared" si="28"/>
      </c>
      <c r="F252" s="8">
        <f t="shared" si="29"/>
      </c>
    </row>
    <row r="253" spans="1:6" ht="12.75">
      <c r="A253" s="66">
        <f t="shared" si="24"/>
      </c>
      <c r="B253" s="8">
        <f t="shared" si="25"/>
      </c>
      <c r="C253" s="47">
        <f t="shared" si="26"/>
      </c>
      <c r="D253" s="9">
        <f t="shared" si="27"/>
      </c>
      <c r="E253" s="48">
        <f t="shared" si="28"/>
      </c>
      <c r="F253" s="8">
        <f t="shared" si="29"/>
      </c>
    </row>
    <row r="254" spans="1:6" ht="12.75">
      <c r="A254" s="66">
        <f t="shared" si="24"/>
      </c>
      <c r="B254" s="8">
        <f t="shared" si="25"/>
      </c>
      <c r="C254" s="47">
        <f t="shared" si="26"/>
      </c>
      <c r="D254" s="9">
        <f t="shared" si="27"/>
      </c>
      <c r="E254" s="48">
        <f t="shared" si="28"/>
      </c>
      <c r="F254" s="8">
        <f t="shared" si="29"/>
      </c>
    </row>
    <row r="255" spans="1:6" ht="12.75">
      <c r="A255" s="66">
        <f t="shared" si="24"/>
      </c>
      <c r="B255" s="8">
        <f t="shared" si="25"/>
      </c>
      <c r="C255" s="47">
        <f t="shared" si="26"/>
      </c>
      <c r="D255" s="9">
        <f t="shared" si="27"/>
      </c>
      <c r="E255" s="48">
        <f t="shared" si="28"/>
      </c>
      <c r="F255" s="8">
        <f t="shared" si="29"/>
      </c>
    </row>
    <row r="256" spans="1:6" ht="12.75">
      <c r="A256" s="66">
        <f t="shared" si="24"/>
      </c>
      <c r="B256" s="8">
        <f t="shared" si="25"/>
      </c>
      <c r="C256" s="47">
        <f t="shared" si="26"/>
      </c>
      <c r="D256" s="9">
        <f t="shared" si="27"/>
      </c>
      <c r="E256" s="48">
        <f t="shared" si="28"/>
      </c>
      <c r="F256" s="8">
        <f t="shared" si="29"/>
      </c>
    </row>
    <row r="257" spans="1:6" ht="12.75">
      <c r="A257" s="66">
        <f t="shared" si="24"/>
      </c>
      <c r="B257" s="8">
        <f t="shared" si="25"/>
      </c>
      <c r="C257" s="47">
        <f t="shared" si="26"/>
      </c>
      <c r="D257" s="9">
        <f t="shared" si="27"/>
      </c>
      <c r="E257" s="48">
        <f t="shared" si="28"/>
      </c>
      <c r="F257" s="8">
        <f t="shared" si="29"/>
      </c>
    </row>
    <row r="258" spans="1:6" ht="12.75">
      <c r="A258" s="66">
        <f t="shared" si="24"/>
      </c>
      <c r="B258" s="8">
        <f t="shared" si="25"/>
      </c>
      <c r="C258" s="47">
        <f t="shared" si="26"/>
      </c>
      <c r="D258" s="9">
        <f t="shared" si="27"/>
      </c>
      <c r="E258" s="48">
        <f t="shared" si="28"/>
      </c>
      <c r="F258" s="8">
        <f t="shared" si="29"/>
      </c>
    </row>
    <row r="259" spans="1:6" ht="12.75">
      <c r="A259" s="66">
        <f t="shared" si="24"/>
      </c>
      <c r="B259" s="8">
        <f t="shared" si="25"/>
      </c>
      <c r="C259" s="47">
        <f t="shared" si="26"/>
      </c>
      <c r="D259" s="9">
        <f t="shared" si="27"/>
      </c>
      <c r="E259" s="48">
        <f t="shared" si="28"/>
      </c>
      <c r="F259" s="8">
        <f t="shared" si="29"/>
      </c>
    </row>
    <row r="260" spans="1:6" ht="12.75">
      <c r="A260" s="66">
        <f t="shared" si="24"/>
      </c>
      <c r="B260" s="8">
        <f t="shared" si="25"/>
      </c>
      <c r="C260" s="47">
        <f t="shared" si="26"/>
      </c>
      <c r="D260" s="9">
        <f t="shared" si="27"/>
      </c>
      <c r="E260" s="48">
        <f t="shared" si="28"/>
      </c>
      <c r="F260" s="8">
        <f t="shared" si="29"/>
      </c>
    </row>
    <row r="261" spans="1:6" ht="12.75">
      <c r="A261" s="66">
        <f t="shared" si="24"/>
      </c>
      <c r="B261" s="8">
        <f t="shared" si="25"/>
      </c>
      <c r="C261" s="47">
        <f t="shared" si="26"/>
      </c>
      <c r="D261" s="9">
        <f t="shared" si="27"/>
      </c>
      <c r="E261" s="48">
        <f t="shared" si="28"/>
      </c>
      <c r="F261" s="8">
        <f t="shared" si="29"/>
      </c>
    </row>
    <row r="262" spans="1:6" ht="12.75">
      <c r="A262" s="66">
        <f t="shared" si="24"/>
      </c>
      <c r="B262" s="8">
        <f t="shared" si="25"/>
      </c>
      <c r="C262" s="47">
        <f t="shared" si="26"/>
      </c>
      <c r="D262" s="9">
        <f t="shared" si="27"/>
      </c>
      <c r="E262" s="48">
        <f t="shared" si="28"/>
      </c>
      <c r="F262" s="8">
        <f t="shared" si="29"/>
      </c>
    </row>
    <row r="263" spans="1:6" ht="12.75">
      <c r="A263" s="66">
        <f t="shared" si="24"/>
      </c>
      <c r="B263" s="8">
        <f t="shared" si="25"/>
      </c>
      <c r="C263" s="47">
        <f t="shared" si="26"/>
      </c>
      <c r="D263" s="9">
        <f t="shared" si="27"/>
      </c>
      <c r="E263" s="48">
        <f t="shared" si="28"/>
      </c>
      <c r="F263" s="8">
        <f t="shared" si="29"/>
      </c>
    </row>
    <row r="264" spans="1:6" ht="12.75">
      <c r="A264" s="66">
        <f t="shared" si="24"/>
      </c>
      <c r="B264" s="8">
        <f t="shared" si="25"/>
      </c>
      <c r="C264" s="47">
        <f t="shared" si="26"/>
      </c>
      <c r="D264" s="9">
        <f t="shared" si="27"/>
      </c>
      <c r="E264" s="48">
        <f t="shared" si="28"/>
      </c>
      <c r="F264" s="8">
        <f t="shared" si="29"/>
      </c>
    </row>
    <row r="265" spans="1:6" ht="12.75">
      <c r="A265" s="66">
        <f t="shared" si="24"/>
      </c>
      <c r="B265" s="8">
        <f t="shared" si="25"/>
      </c>
      <c r="C265" s="47">
        <f t="shared" si="26"/>
      </c>
      <c r="D265" s="9">
        <f t="shared" si="27"/>
      </c>
      <c r="E265" s="48">
        <f t="shared" si="28"/>
      </c>
      <c r="F265" s="8">
        <f t="shared" si="29"/>
      </c>
    </row>
    <row r="266" spans="1:6" ht="12.75">
      <c r="A266" s="66">
        <f t="shared" si="24"/>
      </c>
      <c r="B266" s="8">
        <f t="shared" si="25"/>
      </c>
      <c r="C266" s="47">
        <f t="shared" si="26"/>
      </c>
      <c r="D266" s="9">
        <f t="shared" si="27"/>
      </c>
      <c r="E266" s="48">
        <f t="shared" si="28"/>
      </c>
      <c r="F266" s="8">
        <f t="shared" si="29"/>
      </c>
    </row>
    <row r="267" spans="1:6" ht="12.75">
      <c r="A267" s="66">
        <f t="shared" si="24"/>
      </c>
      <c r="B267" s="8">
        <f t="shared" si="25"/>
      </c>
      <c r="C267" s="47">
        <f t="shared" si="26"/>
      </c>
      <c r="D267" s="9">
        <f t="shared" si="27"/>
      </c>
      <c r="E267" s="48">
        <f t="shared" si="28"/>
      </c>
      <c r="F267" s="8">
        <f t="shared" si="29"/>
      </c>
    </row>
    <row r="268" spans="1:6" ht="12.75">
      <c r="A268" s="66">
        <f t="shared" si="24"/>
      </c>
      <c r="B268" s="8">
        <f t="shared" si="25"/>
      </c>
      <c r="C268" s="47">
        <f t="shared" si="26"/>
      </c>
      <c r="D268" s="9">
        <f t="shared" si="27"/>
      </c>
      <c r="E268" s="48">
        <f t="shared" si="28"/>
      </c>
      <c r="F268" s="8">
        <f t="shared" si="29"/>
      </c>
    </row>
    <row r="269" spans="1:6" ht="12.75">
      <c r="A269" s="66">
        <f t="shared" si="24"/>
      </c>
      <c r="B269" s="8">
        <f t="shared" si="25"/>
      </c>
      <c r="C269" s="47">
        <f t="shared" si="26"/>
      </c>
      <c r="D269" s="9">
        <f t="shared" si="27"/>
      </c>
      <c r="E269" s="48">
        <f t="shared" si="28"/>
      </c>
      <c r="F269" s="8">
        <f t="shared" si="29"/>
      </c>
    </row>
    <row r="270" spans="1:6" ht="12.75">
      <c r="A270" s="66">
        <f t="shared" si="24"/>
      </c>
      <c r="B270" s="8">
        <f t="shared" si="25"/>
      </c>
      <c r="C270" s="47">
        <f t="shared" si="26"/>
      </c>
      <c r="D270" s="9">
        <f t="shared" si="27"/>
      </c>
      <c r="E270" s="48">
        <f t="shared" si="28"/>
      </c>
      <c r="F270" s="8">
        <f t="shared" si="29"/>
      </c>
    </row>
    <row r="271" spans="1:6" ht="12.75">
      <c r="A271" s="66">
        <f t="shared" si="24"/>
      </c>
      <c r="B271" s="8">
        <f t="shared" si="25"/>
      </c>
      <c r="C271" s="47">
        <f t="shared" si="26"/>
      </c>
      <c r="D271" s="9">
        <f t="shared" si="27"/>
      </c>
      <c r="E271" s="48">
        <f t="shared" si="28"/>
      </c>
      <c r="F271" s="8">
        <f t="shared" si="29"/>
      </c>
    </row>
    <row r="272" spans="1:6" ht="12.75">
      <c r="A272" s="66">
        <f t="shared" si="24"/>
      </c>
      <c r="B272" s="8">
        <f t="shared" si="25"/>
      </c>
      <c r="C272" s="47">
        <f t="shared" si="26"/>
      </c>
      <c r="D272" s="9">
        <f t="shared" si="27"/>
      </c>
      <c r="E272" s="48">
        <f t="shared" si="28"/>
      </c>
      <c r="F272" s="8">
        <f t="shared" si="29"/>
      </c>
    </row>
    <row r="273" spans="1:6" ht="12.75">
      <c r="A273" s="66">
        <f t="shared" si="24"/>
      </c>
      <c r="B273" s="8">
        <f t="shared" si="25"/>
      </c>
      <c r="C273" s="47">
        <f t="shared" si="26"/>
      </c>
      <c r="D273" s="9">
        <f t="shared" si="27"/>
      </c>
      <c r="E273" s="48">
        <f t="shared" si="28"/>
      </c>
      <c r="F273" s="8">
        <f t="shared" si="29"/>
      </c>
    </row>
    <row r="274" spans="1:6" ht="12.75">
      <c r="A274" s="66">
        <f t="shared" si="24"/>
      </c>
      <c r="B274" s="8">
        <f t="shared" si="25"/>
      </c>
      <c r="C274" s="47">
        <f t="shared" si="26"/>
      </c>
      <c r="D274" s="9">
        <f t="shared" si="27"/>
      </c>
      <c r="E274" s="48">
        <f t="shared" si="28"/>
      </c>
      <c r="F274" s="8">
        <f t="shared" si="29"/>
      </c>
    </row>
    <row r="275" spans="1:6" ht="12.75">
      <c r="A275" s="66">
        <f t="shared" si="24"/>
      </c>
      <c r="B275" s="8">
        <f t="shared" si="25"/>
      </c>
      <c r="C275" s="47">
        <f t="shared" si="26"/>
      </c>
      <c r="D275" s="9">
        <f t="shared" si="27"/>
      </c>
      <c r="E275" s="48">
        <f t="shared" si="28"/>
      </c>
      <c r="F275" s="8">
        <f t="shared" si="29"/>
      </c>
    </row>
    <row r="276" ht="12.75">
      <c r="A276" s="66">
        <f aca="true" t="shared" si="30" ref="A276:A336">F276</f>
        <v>0</v>
      </c>
    </row>
    <row r="277" ht="12.75">
      <c r="A277" s="66">
        <f t="shared" si="30"/>
        <v>0</v>
      </c>
    </row>
    <row r="278" ht="12.75">
      <c r="A278" s="66">
        <f t="shared" si="30"/>
        <v>0</v>
      </c>
    </row>
    <row r="279" ht="12.75">
      <c r="A279" s="66">
        <f t="shared" si="30"/>
        <v>0</v>
      </c>
    </row>
    <row r="280" ht="12.75">
      <c r="A280" s="66">
        <f t="shared" si="30"/>
        <v>0</v>
      </c>
    </row>
    <row r="281" ht="12.75">
      <c r="A281" s="66">
        <f t="shared" si="30"/>
        <v>0</v>
      </c>
    </row>
    <row r="282" ht="12.75">
      <c r="A282" s="66">
        <f t="shared" si="30"/>
        <v>0</v>
      </c>
    </row>
    <row r="283" ht="12.75">
      <c r="A283" s="66">
        <f t="shared" si="30"/>
        <v>0</v>
      </c>
    </row>
    <row r="284" ht="12.75">
      <c r="A284" s="66">
        <f t="shared" si="30"/>
        <v>0</v>
      </c>
    </row>
    <row r="285" ht="12.75">
      <c r="A285" s="66">
        <f t="shared" si="30"/>
        <v>0</v>
      </c>
    </row>
    <row r="286" ht="12.75">
      <c r="A286" s="66">
        <f t="shared" si="30"/>
        <v>0</v>
      </c>
    </row>
    <row r="287" ht="12.75">
      <c r="A287" s="66">
        <f t="shared" si="30"/>
        <v>0</v>
      </c>
    </row>
    <row r="288" ht="12.75">
      <c r="A288" s="66">
        <f t="shared" si="30"/>
        <v>0</v>
      </c>
    </row>
    <row r="289" ht="12.75">
      <c r="A289" s="66">
        <f t="shared" si="30"/>
        <v>0</v>
      </c>
    </row>
    <row r="290" ht="12.75">
      <c r="A290" s="66">
        <f t="shared" si="30"/>
        <v>0</v>
      </c>
    </row>
    <row r="291" ht="12.75">
      <c r="A291" s="66">
        <f t="shared" si="30"/>
        <v>0</v>
      </c>
    </row>
    <row r="292" ht="12.75">
      <c r="A292" s="66">
        <f t="shared" si="30"/>
        <v>0</v>
      </c>
    </row>
    <row r="293" ht="12.75">
      <c r="A293" s="66">
        <f t="shared" si="30"/>
        <v>0</v>
      </c>
    </row>
    <row r="294" ht="12.75">
      <c r="A294" s="66">
        <f t="shared" si="30"/>
        <v>0</v>
      </c>
    </row>
    <row r="295" ht="12.75">
      <c r="A295" s="66">
        <f t="shared" si="30"/>
        <v>0</v>
      </c>
    </row>
    <row r="296" ht="12.75">
      <c r="A296" s="66">
        <f t="shared" si="30"/>
        <v>0</v>
      </c>
    </row>
    <row r="297" ht="12.75">
      <c r="A297" s="66">
        <f t="shared" si="30"/>
        <v>0</v>
      </c>
    </row>
    <row r="298" ht="12.75">
      <c r="A298" s="66">
        <f t="shared" si="30"/>
        <v>0</v>
      </c>
    </row>
    <row r="299" ht="12.75">
      <c r="A299" s="66">
        <f t="shared" si="30"/>
        <v>0</v>
      </c>
    </row>
    <row r="300" ht="12.75">
      <c r="A300" s="66">
        <f t="shared" si="30"/>
        <v>0</v>
      </c>
    </row>
    <row r="301" ht="12.75">
      <c r="A301" s="66">
        <f t="shared" si="30"/>
        <v>0</v>
      </c>
    </row>
    <row r="302" ht="12.75">
      <c r="A302" s="66">
        <f t="shared" si="30"/>
        <v>0</v>
      </c>
    </row>
    <row r="303" ht="12.75">
      <c r="A303" s="66">
        <f t="shared" si="30"/>
        <v>0</v>
      </c>
    </row>
    <row r="304" ht="12.75">
      <c r="A304" s="66">
        <f t="shared" si="30"/>
        <v>0</v>
      </c>
    </row>
    <row r="305" ht="12.75">
      <c r="A305" s="66">
        <f t="shared" si="30"/>
        <v>0</v>
      </c>
    </row>
    <row r="306" ht="12.75">
      <c r="A306" s="66">
        <f t="shared" si="30"/>
        <v>0</v>
      </c>
    </row>
    <row r="307" ht="12.75">
      <c r="A307" s="66">
        <f t="shared" si="30"/>
        <v>0</v>
      </c>
    </row>
    <row r="308" ht="12.75">
      <c r="A308" s="66">
        <f t="shared" si="30"/>
        <v>0</v>
      </c>
    </row>
    <row r="309" ht="12.75">
      <c r="A309" s="66">
        <f t="shared" si="30"/>
        <v>0</v>
      </c>
    </row>
    <row r="310" ht="12.75">
      <c r="A310" s="66">
        <f t="shared" si="30"/>
        <v>0</v>
      </c>
    </row>
    <row r="311" ht="12.75">
      <c r="A311" s="66">
        <f t="shared" si="30"/>
        <v>0</v>
      </c>
    </row>
    <row r="312" ht="12.75">
      <c r="A312" s="66">
        <f t="shared" si="30"/>
        <v>0</v>
      </c>
    </row>
    <row r="313" ht="12.75">
      <c r="A313" s="66">
        <f t="shared" si="30"/>
        <v>0</v>
      </c>
    </row>
    <row r="314" ht="12.75">
      <c r="A314" s="66">
        <f t="shared" si="30"/>
        <v>0</v>
      </c>
    </row>
    <row r="315" ht="12.75">
      <c r="A315" s="66">
        <f t="shared" si="30"/>
        <v>0</v>
      </c>
    </row>
    <row r="316" ht="12.75">
      <c r="A316" s="66">
        <f t="shared" si="30"/>
        <v>0</v>
      </c>
    </row>
    <row r="317" ht="12.75">
      <c r="A317" s="66">
        <f t="shared" si="30"/>
        <v>0</v>
      </c>
    </row>
    <row r="318" ht="12.75">
      <c r="A318" s="66">
        <f t="shared" si="30"/>
        <v>0</v>
      </c>
    </row>
    <row r="319" ht="12.75">
      <c r="A319" s="66">
        <f t="shared" si="30"/>
        <v>0</v>
      </c>
    </row>
    <row r="320" ht="12.75">
      <c r="A320" s="66">
        <f t="shared" si="30"/>
        <v>0</v>
      </c>
    </row>
    <row r="321" ht="12.75">
      <c r="A321" s="66">
        <f t="shared" si="30"/>
        <v>0</v>
      </c>
    </row>
    <row r="322" ht="12.75">
      <c r="A322" s="66">
        <f t="shared" si="30"/>
        <v>0</v>
      </c>
    </row>
    <row r="323" ht="12.75">
      <c r="A323" s="66">
        <f t="shared" si="30"/>
        <v>0</v>
      </c>
    </row>
    <row r="324" ht="12.75">
      <c r="A324" s="66">
        <f t="shared" si="30"/>
        <v>0</v>
      </c>
    </row>
    <row r="325" ht="12.75">
      <c r="A325" s="66">
        <f t="shared" si="30"/>
        <v>0</v>
      </c>
    </row>
    <row r="326" ht="12.75">
      <c r="A326" s="66">
        <f t="shared" si="30"/>
        <v>0</v>
      </c>
    </row>
    <row r="327" ht="12.75">
      <c r="A327" s="66">
        <f t="shared" si="30"/>
        <v>0</v>
      </c>
    </row>
    <row r="328" ht="12.75">
      <c r="A328" s="66">
        <f t="shared" si="30"/>
        <v>0</v>
      </c>
    </row>
    <row r="329" ht="12.75">
      <c r="A329" s="66">
        <f t="shared" si="30"/>
        <v>0</v>
      </c>
    </row>
    <row r="330" ht="12.75">
      <c r="A330" s="66">
        <f t="shared" si="30"/>
        <v>0</v>
      </c>
    </row>
    <row r="331" ht="12.75">
      <c r="A331" s="66">
        <f t="shared" si="30"/>
        <v>0</v>
      </c>
    </row>
    <row r="332" ht="12.75">
      <c r="A332" s="66">
        <f t="shared" si="30"/>
        <v>0</v>
      </c>
    </row>
    <row r="333" ht="12.75">
      <c r="A333" s="66">
        <f t="shared" si="30"/>
        <v>0</v>
      </c>
    </row>
    <row r="334" ht="12.75">
      <c r="A334" s="66">
        <f t="shared" si="30"/>
        <v>0</v>
      </c>
    </row>
    <row r="335" ht="12.75">
      <c r="A335" s="66">
        <f t="shared" si="30"/>
        <v>0</v>
      </c>
    </row>
    <row r="336" ht="12.75">
      <c r="A336" s="66">
        <f t="shared" si="30"/>
        <v>0</v>
      </c>
    </row>
    <row r="337" ht="12.75">
      <c r="A337" s="66">
        <f aca="true" t="shared" si="31" ref="A337:A400">F337</f>
        <v>0</v>
      </c>
    </row>
    <row r="338" ht="12.75">
      <c r="A338" s="66">
        <f t="shared" si="31"/>
        <v>0</v>
      </c>
    </row>
    <row r="339" ht="12.75">
      <c r="A339" s="66">
        <f t="shared" si="31"/>
        <v>0</v>
      </c>
    </row>
    <row r="340" ht="12.75">
      <c r="A340" s="66">
        <f t="shared" si="31"/>
        <v>0</v>
      </c>
    </row>
    <row r="341" ht="12.75">
      <c r="A341" s="66">
        <f t="shared" si="31"/>
        <v>0</v>
      </c>
    </row>
    <row r="342" ht="12.75">
      <c r="A342" s="66">
        <f t="shared" si="31"/>
        <v>0</v>
      </c>
    </row>
    <row r="343" ht="12.75">
      <c r="A343" s="66">
        <f t="shared" si="31"/>
        <v>0</v>
      </c>
    </row>
    <row r="344" ht="12.75">
      <c r="A344" s="66">
        <f t="shared" si="31"/>
        <v>0</v>
      </c>
    </row>
    <row r="345" ht="12.75">
      <c r="A345" s="66">
        <f t="shared" si="31"/>
        <v>0</v>
      </c>
    </row>
    <row r="346" ht="12.75">
      <c r="A346" s="66">
        <f t="shared" si="31"/>
        <v>0</v>
      </c>
    </row>
    <row r="347" ht="12.75">
      <c r="A347" s="66">
        <f t="shared" si="31"/>
        <v>0</v>
      </c>
    </row>
    <row r="348" ht="12.75">
      <c r="A348" s="66">
        <f t="shared" si="31"/>
        <v>0</v>
      </c>
    </row>
    <row r="349" ht="12.75">
      <c r="A349" s="66">
        <f t="shared" si="31"/>
        <v>0</v>
      </c>
    </row>
    <row r="350" ht="12.75">
      <c r="A350" s="66">
        <f t="shared" si="31"/>
        <v>0</v>
      </c>
    </row>
    <row r="351" ht="12.75">
      <c r="A351" s="66">
        <f t="shared" si="31"/>
        <v>0</v>
      </c>
    </row>
    <row r="352" ht="12.75">
      <c r="A352" s="66">
        <f t="shared" si="31"/>
        <v>0</v>
      </c>
    </row>
    <row r="353" ht="12.75">
      <c r="A353" s="66">
        <f t="shared" si="31"/>
        <v>0</v>
      </c>
    </row>
    <row r="354" ht="12.75">
      <c r="A354" s="66">
        <f t="shared" si="31"/>
        <v>0</v>
      </c>
    </row>
    <row r="355" ht="12.75">
      <c r="A355" s="66">
        <f t="shared" si="31"/>
        <v>0</v>
      </c>
    </row>
    <row r="356" ht="12.75">
      <c r="A356" s="66">
        <f t="shared" si="31"/>
        <v>0</v>
      </c>
    </row>
    <row r="357" ht="12.75">
      <c r="A357" s="66">
        <f t="shared" si="31"/>
        <v>0</v>
      </c>
    </row>
    <row r="358" ht="12.75">
      <c r="A358" s="66">
        <f t="shared" si="31"/>
        <v>0</v>
      </c>
    </row>
    <row r="359" ht="12.75">
      <c r="A359" s="66">
        <f t="shared" si="31"/>
        <v>0</v>
      </c>
    </row>
    <row r="360" ht="12.75">
      <c r="A360" s="66">
        <f t="shared" si="31"/>
        <v>0</v>
      </c>
    </row>
    <row r="361" ht="12.75">
      <c r="A361" s="66">
        <f t="shared" si="31"/>
        <v>0</v>
      </c>
    </row>
    <row r="362" ht="12.75">
      <c r="A362" s="66">
        <f t="shared" si="31"/>
        <v>0</v>
      </c>
    </row>
    <row r="363" ht="12.75">
      <c r="A363" s="66">
        <f t="shared" si="31"/>
        <v>0</v>
      </c>
    </row>
    <row r="364" ht="12.75">
      <c r="A364" s="66">
        <f t="shared" si="31"/>
        <v>0</v>
      </c>
    </row>
    <row r="365" ht="12.75">
      <c r="A365" s="66">
        <f t="shared" si="31"/>
        <v>0</v>
      </c>
    </row>
    <row r="366" ht="12.75">
      <c r="A366" s="66">
        <f t="shared" si="31"/>
        <v>0</v>
      </c>
    </row>
    <row r="367" ht="12.75">
      <c r="A367" s="66">
        <f t="shared" si="31"/>
        <v>0</v>
      </c>
    </row>
    <row r="368" ht="12.75">
      <c r="A368" s="66">
        <f t="shared" si="31"/>
        <v>0</v>
      </c>
    </row>
    <row r="369" ht="12.75">
      <c r="A369" s="66">
        <f t="shared" si="31"/>
        <v>0</v>
      </c>
    </row>
    <row r="370" ht="12.75">
      <c r="A370" s="66">
        <f t="shared" si="31"/>
        <v>0</v>
      </c>
    </row>
    <row r="371" ht="12.75">
      <c r="A371" s="66">
        <f t="shared" si="31"/>
        <v>0</v>
      </c>
    </row>
    <row r="372" ht="12.75">
      <c r="A372" s="66">
        <f t="shared" si="31"/>
        <v>0</v>
      </c>
    </row>
    <row r="373" ht="12.75">
      <c r="A373" s="66">
        <f t="shared" si="31"/>
        <v>0</v>
      </c>
    </row>
    <row r="374" ht="12.75">
      <c r="A374" s="66">
        <f t="shared" si="31"/>
        <v>0</v>
      </c>
    </row>
    <row r="375" ht="12.75">
      <c r="A375" s="66">
        <f t="shared" si="31"/>
        <v>0</v>
      </c>
    </row>
    <row r="376" ht="12.75">
      <c r="A376" s="66">
        <f t="shared" si="31"/>
        <v>0</v>
      </c>
    </row>
    <row r="377" ht="12.75">
      <c r="A377" s="66">
        <f t="shared" si="31"/>
        <v>0</v>
      </c>
    </row>
    <row r="378" ht="12.75">
      <c r="A378" s="66">
        <f t="shared" si="31"/>
        <v>0</v>
      </c>
    </row>
    <row r="379" ht="12.75">
      <c r="A379" s="66">
        <f t="shared" si="31"/>
        <v>0</v>
      </c>
    </row>
    <row r="380" ht="12.75">
      <c r="A380" s="66">
        <f t="shared" si="31"/>
        <v>0</v>
      </c>
    </row>
    <row r="381" ht="12.75">
      <c r="A381" s="66">
        <f t="shared" si="31"/>
        <v>0</v>
      </c>
    </row>
    <row r="382" ht="12.75">
      <c r="A382" s="66">
        <f t="shared" si="31"/>
        <v>0</v>
      </c>
    </row>
    <row r="383" ht="12.75">
      <c r="A383" s="66">
        <f t="shared" si="31"/>
        <v>0</v>
      </c>
    </row>
    <row r="384" ht="12.75">
      <c r="A384" s="66">
        <f t="shared" si="31"/>
        <v>0</v>
      </c>
    </row>
    <row r="385" ht="12.75">
      <c r="A385" s="66">
        <f t="shared" si="31"/>
        <v>0</v>
      </c>
    </row>
    <row r="386" ht="12.75">
      <c r="A386" s="66">
        <f t="shared" si="31"/>
        <v>0</v>
      </c>
    </row>
    <row r="387" ht="12.75">
      <c r="A387" s="66">
        <f t="shared" si="31"/>
        <v>0</v>
      </c>
    </row>
    <row r="388" ht="12.75">
      <c r="A388" s="66">
        <f t="shared" si="31"/>
        <v>0</v>
      </c>
    </row>
    <row r="389" ht="12.75">
      <c r="A389" s="66">
        <f t="shared" si="31"/>
        <v>0</v>
      </c>
    </row>
    <row r="390" ht="12.75">
      <c r="A390" s="66">
        <f t="shared" si="31"/>
        <v>0</v>
      </c>
    </row>
    <row r="391" ht="12.75">
      <c r="A391" s="66">
        <f t="shared" si="31"/>
        <v>0</v>
      </c>
    </row>
    <row r="392" ht="12.75">
      <c r="A392" s="66">
        <f t="shared" si="31"/>
        <v>0</v>
      </c>
    </row>
    <row r="393" ht="12.75">
      <c r="A393" s="66">
        <f t="shared" si="31"/>
        <v>0</v>
      </c>
    </row>
    <row r="394" ht="12.75">
      <c r="A394" s="66">
        <f t="shared" si="31"/>
        <v>0</v>
      </c>
    </row>
    <row r="395" ht="12.75">
      <c r="A395" s="66">
        <f t="shared" si="31"/>
        <v>0</v>
      </c>
    </row>
    <row r="396" ht="12.75">
      <c r="A396" s="66">
        <f t="shared" si="31"/>
        <v>0</v>
      </c>
    </row>
    <row r="397" ht="12.75">
      <c r="A397" s="66">
        <f t="shared" si="31"/>
        <v>0</v>
      </c>
    </row>
    <row r="398" ht="12.75">
      <c r="A398" s="66">
        <f t="shared" si="31"/>
        <v>0</v>
      </c>
    </row>
    <row r="399" ht="12.75">
      <c r="A399" s="66">
        <f t="shared" si="31"/>
        <v>0</v>
      </c>
    </row>
    <row r="400" ht="12.75">
      <c r="A400" s="66">
        <f t="shared" si="31"/>
        <v>0</v>
      </c>
    </row>
    <row r="401" ht="12.75">
      <c r="A401" s="66">
        <f aca="true" t="shared" si="32" ref="A401:A464">F401</f>
        <v>0</v>
      </c>
    </row>
    <row r="402" ht="12.75">
      <c r="A402" s="66">
        <f t="shared" si="32"/>
        <v>0</v>
      </c>
    </row>
    <row r="403" ht="12.75">
      <c r="A403" s="66">
        <f t="shared" si="32"/>
        <v>0</v>
      </c>
    </row>
    <row r="404" ht="12.75">
      <c r="A404" s="66">
        <f t="shared" si="32"/>
        <v>0</v>
      </c>
    </row>
    <row r="405" ht="12.75">
      <c r="A405" s="66">
        <f t="shared" si="32"/>
        <v>0</v>
      </c>
    </row>
    <row r="406" ht="12.75">
      <c r="A406" s="66">
        <f t="shared" si="32"/>
        <v>0</v>
      </c>
    </row>
    <row r="407" ht="12.75">
      <c r="A407" s="66">
        <f t="shared" si="32"/>
        <v>0</v>
      </c>
    </row>
    <row r="408" ht="12.75">
      <c r="A408" s="66">
        <f t="shared" si="32"/>
        <v>0</v>
      </c>
    </row>
    <row r="409" ht="12.75">
      <c r="A409" s="66">
        <f t="shared" si="32"/>
        <v>0</v>
      </c>
    </row>
    <row r="410" ht="12.75">
      <c r="A410" s="66">
        <f t="shared" si="32"/>
        <v>0</v>
      </c>
    </row>
    <row r="411" ht="12.75">
      <c r="A411" s="66">
        <f t="shared" si="32"/>
        <v>0</v>
      </c>
    </row>
    <row r="412" ht="12.75">
      <c r="A412" s="66">
        <f t="shared" si="32"/>
        <v>0</v>
      </c>
    </row>
    <row r="413" ht="12.75">
      <c r="A413" s="66">
        <f t="shared" si="32"/>
        <v>0</v>
      </c>
    </row>
    <row r="414" ht="12.75">
      <c r="A414" s="66">
        <f t="shared" si="32"/>
        <v>0</v>
      </c>
    </row>
    <row r="415" ht="12.75">
      <c r="A415" s="66">
        <f t="shared" si="32"/>
        <v>0</v>
      </c>
    </row>
    <row r="416" ht="12.75">
      <c r="A416" s="66">
        <f t="shared" si="32"/>
        <v>0</v>
      </c>
    </row>
    <row r="417" ht="12.75">
      <c r="A417" s="66">
        <f t="shared" si="32"/>
        <v>0</v>
      </c>
    </row>
    <row r="418" ht="12.75">
      <c r="A418" s="66">
        <f t="shared" si="32"/>
        <v>0</v>
      </c>
    </row>
    <row r="419" ht="12.75">
      <c r="A419" s="66">
        <f t="shared" si="32"/>
        <v>0</v>
      </c>
    </row>
    <row r="420" ht="12.75">
      <c r="A420" s="66">
        <f t="shared" si="32"/>
        <v>0</v>
      </c>
    </row>
    <row r="421" ht="12.75">
      <c r="A421" s="66">
        <f t="shared" si="32"/>
        <v>0</v>
      </c>
    </row>
    <row r="422" ht="12.75">
      <c r="A422" s="66">
        <f t="shared" si="32"/>
        <v>0</v>
      </c>
    </row>
    <row r="423" ht="12.75">
      <c r="A423" s="66">
        <f t="shared" si="32"/>
        <v>0</v>
      </c>
    </row>
    <row r="424" ht="12.75">
      <c r="A424" s="66">
        <f t="shared" si="32"/>
        <v>0</v>
      </c>
    </row>
    <row r="425" ht="12.75">
      <c r="A425" s="66">
        <f t="shared" si="32"/>
        <v>0</v>
      </c>
    </row>
    <row r="426" ht="12.75">
      <c r="A426" s="66">
        <f t="shared" si="32"/>
        <v>0</v>
      </c>
    </row>
    <row r="427" ht="12.75">
      <c r="A427" s="66">
        <f t="shared" si="32"/>
        <v>0</v>
      </c>
    </row>
    <row r="428" ht="12.75">
      <c r="A428" s="66">
        <f t="shared" si="32"/>
        <v>0</v>
      </c>
    </row>
    <row r="429" ht="12.75">
      <c r="A429" s="66">
        <f t="shared" si="32"/>
        <v>0</v>
      </c>
    </row>
    <row r="430" ht="12.75">
      <c r="A430" s="66">
        <f t="shared" si="32"/>
        <v>0</v>
      </c>
    </row>
    <row r="431" ht="12.75">
      <c r="A431" s="66">
        <f t="shared" si="32"/>
        <v>0</v>
      </c>
    </row>
    <row r="432" ht="12.75">
      <c r="A432" s="66">
        <f t="shared" si="32"/>
        <v>0</v>
      </c>
    </row>
    <row r="433" ht="12.75">
      <c r="A433" s="66">
        <f t="shared" si="32"/>
        <v>0</v>
      </c>
    </row>
    <row r="434" ht="12.75">
      <c r="A434" s="66">
        <f t="shared" si="32"/>
        <v>0</v>
      </c>
    </row>
    <row r="435" ht="12.75">
      <c r="A435" s="66">
        <f t="shared" si="32"/>
        <v>0</v>
      </c>
    </row>
    <row r="436" ht="12.75">
      <c r="A436" s="66">
        <f t="shared" si="32"/>
        <v>0</v>
      </c>
    </row>
    <row r="437" ht="12.75">
      <c r="A437" s="66">
        <f t="shared" si="32"/>
        <v>0</v>
      </c>
    </row>
    <row r="438" ht="12.75">
      <c r="A438" s="66">
        <f t="shared" si="32"/>
        <v>0</v>
      </c>
    </row>
    <row r="439" ht="12.75">
      <c r="A439" s="66">
        <f t="shared" si="32"/>
        <v>0</v>
      </c>
    </row>
    <row r="440" ht="12.75">
      <c r="A440" s="66">
        <f t="shared" si="32"/>
        <v>0</v>
      </c>
    </row>
    <row r="441" ht="12.75">
      <c r="A441" s="66">
        <f t="shared" si="32"/>
        <v>0</v>
      </c>
    </row>
    <row r="442" ht="12.75">
      <c r="A442" s="66">
        <f t="shared" si="32"/>
        <v>0</v>
      </c>
    </row>
    <row r="443" ht="12.75">
      <c r="A443" s="66">
        <f t="shared" si="32"/>
        <v>0</v>
      </c>
    </row>
    <row r="444" ht="12.75">
      <c r="A444" s="66">
        <f t="shared" si="32"/>
        <v>0</v>
      </c>
    </row>
    <row r="445" ht="12.75">
      <c r="A445" s="66">
        <f t="shared" si="32"/>
        <v>0</v>
      </c>
    </row>
    <row r="446" ht="12.75">
      <c r="A446" s="66">
        <f t="shared" si="32"/>
        <v>0</v>
      </c>
    </row>
    <row r="447" ht="12.75">
      <c r="A447" s="66">
        <f t="shared" si="32"/>
        <v>0</v>
      </c>
    </row>
    <row r="448" ht="12.75">
      <c r="A448" s="66">
        <f t="shared" si="32"/>
        <v>0</v>
      </c>
    </row>
    <row r="449" ht="12.75">
      <c r="A449" s="66">
        <f t="shared" si="32"/>
        <v>0</v>
      </c>
    </row>
    <row r="450" ht="12.75">
      <c r="A450" s="66">
        <f t="shared" si="32"/>
        <v>0</v>
      </c>
    </row>
    <row r="451" ht="12.75">
      <c r="A451" s="66">
        <f t="shared" si="32"/>
        <v>0</v>
      </c>
    </row>
    <row r="452" ht="12.75">
      <c r="A452" s="66">
        <f t="shared" si="32"/>
        <v>0</v>
      </c>
    </row>
    <row r="453" ht="12.75">
      <c r="A453" s="66">
        <f t="shared" si="32"/>
        <v>0</v>
      </c>
    </row>
    <row r="454" ht="12.75">
      <c r="A454" s="66">
        <f t="shared" si="32"/>
        <v>0</v>
      </c>
    </row>
    <row r="455" ht="12.75">
      <c r="A455" s="66">
        <f t="shared" si="32"/>
        <v>0</v>
      </c>
    </row>
    <row r="456" ht="12.75">
      <c r="A456" s="66">
        <f t="shared" si="32"/>
        <v>0</v>
      </c>
    </row>
    <row r="457" ht="12.75">
      <c r="A457" s="66">
        <f t="shared" si="32"/>
        <v>0</v>
      </c>
    </row>
    <row r="458" ht="12.75">
      <c r="A458" s="66">
        <f t="shared" si="32"/>
        <v>0</v>
      </c>
    </row>
    <row r="459" ht="12.75">
      <c r="A459" s="66">
        <f t="shared" si="32"/>
        <v>0</v>
      </c>
    </row>
    <row r="460" ht="12.75">
      <c r="A460" s="66">
        <f t="shared" si="32"/>
        <v>0</v>
      </c>
    </row>
    <row r="461" ht="12.75">
      <c r="A461" s="66">
        <f t="shared" si="32"/>
        <v>0</v>
      </c>
    </row>
    <row r="462" ht="12.75">
      <c r="A462" s="66">
        <f t="shared" si="32"/>
        <v>0</v>
      </c>
    </row>
    <row r="463" ht="12.75">
      <c r="A463" s="66">
        <f t="shared" si="32"/>
        <v>0</v>
      </c>
    </row>
    <row r="464" ht="12.75">
      <c r="A464" s="66">
        <f t="shared" si="32"/>
        <v>0</v>
      </c>
    </row>
    <row r="465" ht="12.75">
      <c r="A465" s="66">
        <f aca="true" t="shared" si="33" ref="A465:A528">F465</f>
        <v>0</v>
      </c>
    </row>
    <row r="466" ht="12.75">
      <c r="A466" s="66">
        <f t="shared" si="33"/>
        <v>0</v>
      </c>
    </row>
    <row r="467" ht="12.75">
      <c r="A467" s="66">
        <f t="shared" si="33"/>
        <v>0</v>
      </c>
    </row>
    <row r="468" ht="12.75">
      <c r="A468" s="66">
        <f t="shared" si="33"/>
        <v>0</v>
      </c>
    </row>
    <row r="469" ht="12.75">
      <c r="A469" s="66">
        <f t="shared" si="33"/>
        <v>0</v>
      </c>
    </row>
    <row r="470" ht="12.75">
      <c r="A470" s="66">
        <f t="shared" si="33"/>
        <v>0</v>
      </c>
    </row>
    <row r="471" ht="12.75">
      <c r="A471" s="66">
        <f t="shared" si="33"/>
        <v>0</v>
      </c>
    </row>
    <row r="472" ht="12.75">
      <c r="A472" s="66">
        <f t="shared" si="33"/>
        <v>0</v>
      </c>
    </row>
    <row r="473" ht="12.75">
      <c r="A473" s="66">
        <f t="shared" si="33"/>
        <v>0</v>
      </c>
    </row>
    <row r="474" ht="12.75">
      <c r="A474" s="66">
        <f t="shared" si="33"/>
        <v>0</v>
      </c>
    </row>
    <row r="475" ht="12.75">
      <c r="A475" s="66">
        <f t="shared" si="33"/>
        <v>0</v>
      </c>
    </row>
    <row r="476" ht="12.75">
      <c r="A476" s="66">
        <f t="shared" si="33"/>
        <v>0</v>
      </c>
    </row>
    <row r="477" ht="12.75">
      <c r="A477" s="66">
        <f t="shared" si="33"/>
        <v>0</v>
      </c>
    </row>
    <row r="478" ht="12.75">
      <c r="A478" s="66">
        <f t="shared" si="33"/>
        <v>0</v>
      </c>
    </row>
    <row r="479" ht="12.75">
      <c r="A479" s="66">
        <f t="shared" si="33"/>
        <v>0</v>
      </c>
    </row>
    <row r="480" ht="12.75">
      <c r="A480" s="66">
        <f t="shared" si="33"/>
        <v>0</v>
      </c>
    </row>
    <row r="481" ht="12.75">
      <c r="A481" s="66">
        <f t="shared" si="33"/>
        <v>0</v>
      </c>
    </row>
    <row r="482" ht="12.75">
      <c r="A482" s="66">
        <f t="shared" si="33"/>
        <v>0</v>
      </c>
    </row>
    <row r="483" ht="12.75">
      <c r="A483" s="66">
        <f t="shared" si="33"/>
        <v>0</v>
      </c>
    </row>
    <row r="484" ht="12.75">
      <c r="A484" s="66">
        <f t="shared" si="33"/>
        <v>0</v>
      </c>
    </row>
    <row r="485" ht="12.75">
      <c r="A485" s="66">
        <f t="shared" si="33"/>
        <v>0</v>
      </c>
    </row>
    <row r="486" ht="12.75">
      <c r="A486" s="66">
        <f t="shared" si="33"/>
        <v>0</v>
      </c>
    </row>
    <row r="487" ht="12.75">
      <c r="A487" s="66">
        <f t="shared" si="33"/>
        <v>0</v>
      </c>
    </row>
    <row r="488" ht="12.75">
      <c r="A488" s="66">
        <f t="shared" si="33"/>
        <v>0</v>
      </c>
    </row>
    <row r="489" ht="12.75">
      <c r="A489" s="66">
        <f t="shared" si="33"/>
        <v>0</v>
      </c>
    </row>
    <row r="490" ht="12.75">
      <c r="A490" s="66">
        <f t="shared" si="33"/>
        <v>0</v>
      </c>
    </row>
    <row r="491" ht="12.75">
      <c r="A491" s="66">
        <f t="shared" si="33"/>
        <v>0</v>
      </c>
    </row>
    <row r="492" ht="12.75">
      <c r="A492" s="66">
        <f t="shared" si="33"/>
        <v>0</v>
      </c>
    </row>
    <row r="493" ht="12.75">
      <c r="A493" s="66">
        <f t="shared" si="33"/>
        <v>0</v>
      </c>
    </row>
    <row r="494" ht="12.75">
      <c r="A494" s="66">
        <f t="shared" si="33"/>
        <v>0</v>
      </c>
    </row>
    <row r="495" ht="12.75">
      <c r="A495" s="66">
        <f t="shared" si="33"/>
        <v>0</v>
      </c>
    </row>
    <row r="496" ht="12.75">
      <c r="A496" s="66">
        <f t="shared" si="33"/>
        <v>0</v>
      </c>
    </row>
    <row r="497" ht="12.75">
      <c r="A497" s="66">
        <f t="shared" si="33"/>
        <v>0</v>
      </c>
    </row>
    <row r="498" ht="12.75">
      <c r="A498" s="66">
        <f t="shared" si="33"/>
        <v>0</v>
      </c>
    </row>
    <row r="499" ht="12.75">
      <c r="A499" s="66">
        <f t="shared" si="33"/>
        <v>0</v>
      </c>
    </row>
    <row r="500" ht="12.75">
      <c r="A500" s="66">
        <f t="shared" si="33"/>
        <v>0</v>
      </c>
    </row>
    <row r="501" ht="12.75">
      <c r="A501" s="66">
        <f t="shared" si="33"/>
        <v>0</v>
      </c>
    </row>
    <row r="502" ht="12.75">
      <c r="A502" s="66">
        <f t="shared" si="33"/>
        <v>0</v>
      </c>
    </row>
    <row r="503" ht="12.75">
      <c r="A503" s="66">
        <f t="shared" si="33"/>
        <v>0</v>
      </c>
    </row>
    <row r="504" ht="12.75">
      <c r="A504" s="66">
        <f t="shared" si="33"/>
        <v>0</v>
      </c>
    </row>
    <row r="505" ht="12.75">
      <c r="A505" s="66">
        <f t="shared" si="33"/>
        <v>0</v>
      </c>
    </row>
    <row r="506" ht="12.75">
      <c r="A506" s="66">
        <f t="shared" si="33"/>
        <v>0</v>
      </c>
    </row>
    <row r="507" ht="12.75">
      <c r="A507" s="66">
        <f t="shared" si="33"/>
        <v>0</v>
      </c>
    </row>
    <row r="508" ht="12.75">
      <c r="A508" s="66">
        <f t="shared" si="33"/>
        <v>0</v>
      </c>
    </row>
    <row r="509" ht="12.75">
      <c r="A509" s="66">
        <f t="shared" si="33"/>
        <v>0</v>
      </c>
    </row>
    <row r="510" ht="12.75">
      <c r="A510" s="66">
        <f t="shared" si="33"/>
        <v>0</v>
      </c>
    </row>
    <row r="511" ht="12.75">
      <c r="A511" s="66">
        <f t="shared" si="33"/>
        <v>0</v>
      </c>
    </row>
    <row r="512" ht="12.75">
      <c r="A512" s="66">
        <f t="shared" si="33"/>
        <v>0</v>
      </c>
    </row>
    <row r="513" ht="12.75">
      <c r="A513" s="66">
        <f t="shared" si="33"/>
        <v>0</v>
      </c>
    </row>
    <row r="514" ht="12.75">
      <c r="A514" s="66">
        <f t="shared" si="33"/>
        <v>0</v>
      </c>
    </row>
    <row r="515" ht="12.75">
      <c r="A515" s="66">
        <f t="shared" si="33"/>
        <v>0</v>
      </c>
    </row>
    <row r="516" ht="12.75">
      <c r="A516" s="66">
        <f t="shared" si="33"/>
        <v>0</v>
      </c>
    </row>
    <row r="517" ht="12.75">
      <c r="A517" s="66">
        <f t="shared" si="33"/>
        <v>0</v>
      </c>
    </row>
    <row r="518" ht="12.75">
      <c r="A518" s="66">
        <f t="shared" si="33"/>
        <v>0</v>
      </c>
    </row>
    <row r="519" ht="12.75">
      <c r="A519" s="66">
        <f t="shared" si="33"/>
        <v>0</v>
      </c>
    </row>
    <row r="520" ht="12.75">
      <c r="A520" s="66">
        <f t="shared" si="33"/>
        <v>0</v>
      </c>
    </row>
    <row r="521" ht="12.75">
      <c r="A521" s="66">
        <f t="shared" si="33"/>
        <v>0</v>
      </c>
    </row>
    <row r="522" ht="12.75">
      <c r="A522" s="66">
        <f t="shared" si="33"/>
        <v>0</v>
      </c>
    </row>
    <row r="523" ht="12.75">
      <c r="A523" s="66">
        <f t="shared" si="33"/>
        <v>0</v>
      </c>
    </row>
    <row r="524" ht="12.75">
      <c r="A524" s="66">
        <f t="shared" si="33"/>
        <v>0</v>
      </c>
    </row>
    <row r="525" ht="12.75">
      <c r="A525" s="66">
        <f t="shared" si="33"/>
        <v>0</v>
      </c>
    </row>
    <row r="526" ht="12.75">
      <c r="A526" s="66">
        <f t="shared" si="33"/>
        <v>0</v>
      </c>
    </row>
    <row r="527" ht="12.75">
      <c r="A527" s="66">
        <f t="shared" si="33"/>
        <v>0</v>
      </c>
    </row>
    <row r="528" ht="12.75">
      <c r="A528" s="66">
        <f t="shared" si="33"/>
        <v>0</v>
      </c>
    </row>
    <row r="529" ht="12.75">
      <c r="A529" s="66">
        <f aca="true" t="shared" si="34" ref="A529:A592">F529</f>
        <v>0</v>
      </c>
    </row>
    <row r="530" ht="12.75">
      <c r="A530" s="66">
        <f t="shared" si="34"/>
        <v>0</v>
      </c>
    </row>
    <row r="531" ht="12.75">
      <c r="A531" s="66">
        <f t="shared" si="34"/>
        <v>0</v>
      </c>
    </row>
    <row r="532" ht="12.75">
      <c r="A532" s="66">
        <f t="shared" si="34"/>
        <v>0</v>
      </c>
    </row>
    <row r="533" ht="12.75">
      <c r="A533" s="66">
        <f t="shared" si="34"/>
        <v>0</v>
      </c>
    </row>
    <row r="534" ht="12.75">
      <c r="A534" s="66">
        <f t="shared" si="34"/>
        <v>0</v>
      </c>
    </row>
    <row r="535" ht="12.75">
      <c r="A535" s="66">
        <f t="shared" si="34"/>
        <v>0</v>
      </c>
    </row>
    <row r="536" ht="12.75">
      <c r="A536" s="66">
        <f t="shared" si="34"/>
        <v>0</v>
      </c>
    </row>
    <row r="537" ht="12.75">
      <c r="A537" s="66">
        <f t="shared" si="34"/>
        <v>0</v>
      </c>
    </row>
    <row r="538" ht="12.75">
      <c r="A538" s="66">
        <f t="shared" si="34"/>
        <v>0</v>
      </c>
    </row>
    <row r="539" ht="12.75">
      <c r="A539" s="66">
        <f t="shared" si="34"/>
        <v>0</v>
      </c>
    </row>
    <row r="540" ht="12.75">
      <c r="A540" s="66">
        <f t="shared" si="34"/>
        <v>0</v>
      </c>
    </row>
    <row r="541" ht="12.75">
      <c r="A541" s="66">
        <f t="shared" si="34"/>
        <v>0</v>
      </c>
    </row>
    <row r="542" ht="12.75">
      <c r="A542" s="66">
        <f t="shared" si="34"/>
        <v>0</v>
      </c>
    </row>
    <row r="543" ht="12.75">
      <c r="A543" s="66">
        <f t="shared" si="34"/>
        <v>0</v>
      </c>
    </row>
    <row r="544" ht="12.75">
      <c r="A544" s="66">
        <f t="shared" si="34"/>
        <v>0</v>
      </c>
    </row>
    <row r="545" ht="12.75">
      <c r="A545" s="66">
        <f t="shared" si="34"/>
        <v>0</v>
      </c>
    </row>
    <row r="546" ht="12.75">
      <c r="A546" s="66">
        <f t="shared" si="34"/>
        <v>0</v>
      </c>
    </row>
    <row r="547" ht="12.75">
      <c r="A547" s="66">
        <f t="shared" si="34"/>
        <v>0</v>
      </c>
    </row>
    <row r="548" ht="12.75">
      <c r="A548" s="66">
        <f t="shared" si="34"/>
        <v>0</v>
      </c>
    </row>
    <row r="549" ht="12.75">
      <c r="A549" s="66">
        <f t="shared" si="34"/>
        <v>0</v>
      </c>
    </row>
    <row r="550" ht="12.75">
      <c r="A550" s="66">
        <f t="shared" si="34"/>
        <v>0</v>
      </c>
    </row>
    <row r="551" ht="12.75">
      <c r="A551" s="66">
        <f t="shared" si="34"/>
        <v>0</v>
      </c>
    </row>
    <row r="552" ht="12.75">
      <c r="A552" s="66">
        <f t="shared" si="34"/>
        <v>0</v>
      </c>
    </row>
    <row r="553" ht="12.75">
      <c r="A553" s="66">
        <f t="shared" si="34"/>
        <v>0</v>
      </c>
    </row>
    <row r="554" ht="12.75">
      <c r="A554" s="66">
        <f t="shared" si="34"/>
        <v>0</v>
      </c>
    </row>
    <row r="555" ht="12.75">
      <c r="A555" s="66">
        <f t="shared" si="34"/>
        <v>0</v>
      </c>
    </row>
    <row r="556" ht="12.75">
      <c r="A556" s="66">
        <f t="shared" si="34"/>
        <v>0</v>
      </c>
    </row>
    <row r="557" ht="12.75">
      <c r="A557" s="66">
        <f t="shared" si="34"/>
        <v>0</v>
      </c>
    </row>
    <row r="558" ht="12.75">
      <c r="A558" s="66">
        <f t="shared" si="34"/>
        <v>0</v>
      </c>
    </row>
    <row r="559" ht="12.75">
      <c r="A559" s="66">
        <f t="shared" si="34"/>
        <v>0</v>
      </c>
    </row>
    <row r="560" ht="12.75">
      <c r="A560" s="66">
        <f t="shared" si="34"/>
        <v>0</v>
      </c>
    </row>
    <row r="561" ht="12.75">
      <c r="A561" s="66">
        <f t="shared" si="34"/>
        <v>0</v>
      </c>
    </row>
    <row r="562" ht="12.75">
      <c r="A562" s="66">
        <f t="shared" si="34"/>
        <v>0</v>
      </c>
    </row>
    <row r="563" ht="12.75">
      <c r="A563" s="66">
        <f t="shared" si="34"/>
        <v>0</v>
      </c>
    </row>
    <row r="564" ht="12.75">
      <c r="A564" s="66">
        <f t="shared" si="34"/>
        <v>0</v>
      </c>
    </row>
    <row r="565" ht="12.75">
      <c r="A565" s="66">
        <f t="shared" si="34"/>
        <v>0</v>
      </c>
    </row>
    <row r="566" ht="12.75">
      <c r="A566" s="66">
        <f t="shared" si="34"/>
        <v>0</v>
      </c>
    </row>
    <row r="567" ht="12.75">
      <c r="A567" s="66">
        <f t="shared" si="34"/>
        <v>0</v>
      </c>
    </row>
    <row r="568" ht="12.75">
      <c r="A568" s="66">
        <f t="shared" si="34"/>
        <v>0</v>
      </c>
    </row>
    <row r="569" ht="12.75">
      <c r="A569" s="66">
        <f t="shared" si="34"/>
        <v>0</v>
      </c>
    </row>
    <row r="570" ht="12.75">
      <c r="A570" s="66">
        <f t="shared" si="34"/>
        <v>0</v>
      </c>
    </row>
    <row r="571" ht="12.75">
      <c r="A571" s="66">
        <f t="shared" si="34"/>
        <v>0</v>
      </c>
    </row>
    <row r="572" ht="12.75">
      <c r="A572" s="66">
        <f t="shared" si="34"/>
        <v>0</v>
      </c>
    </row>
    <row r="573" ht="12.75">
      <c r="A573" s="66">
        <f t="shared" si="34"/>
        <v>0</v>
      </c>
    </row>
    <row r="574" ht="12.75">
      <c r="A574" s="66">
        <f t="shared" si="34"/>
        <v>0</v>
      </c>
    </row>
    <row r="575" ht="12.75">
      <c r="A575" s="66">
        <f t="shared" si="34"/>
        <v>0</v>
      </c>
    </row>
    <row r="576" ht="12.75">
      <c r="A576" s="66">
        <f t="shared" si="34"/>
        <v>0</v>
      </c>
    </row>
    <row r="577" ht="12.75">
      <c r="A577" s="66">
        <f t="shared" si="34"/>
        <v>0</v>
      </c>
    </row>
    <row r="578" ht="12.75">
      <c r="A578" s="66">
        <f t="shared" si="34"/>
        <v>0</v>
      </c>
    </row>
    <row r="579" ht="12.75">
      <c r="A579" s="66">
        <f t="shared" si="34"/>
        <v>0</v>
      </c>
    </row>
    <row r="580" ht="12.75">
      <c r="A580" s="66">
        <f t="shared" si="34"/>
        <v>0</v>
      </c>
    </row>
    <row r="581" ht="12.75">
      <c r="A581" s="66">
        <f t="shared" si="34"/>
        <v>0</v>
      </c>
    </row>
    <row r="582" ht="12.75">
      <c r="A582" s="66">
        <f t="shared" si="34"/>
        <v>0</v>
      </c>
    </row>
    <row r="583" ht="12.75">
      <c r="A583" s="66">
        <f t="shared" si="34"/>
        <v>0</v>
      </c>
    </row>
    <row r="584" ht="12.75">
      <c r="A584" s="66">
        <f t="shared" si="34"/>
        <v>0</v>
      </c>
    </row>
    <row r="585" ht="12.75">
      <c r="A585" s="66">
        <f t="shared" si="34"/>
        <v>0</v>
      </c>
    </row>
    <row r="586" ht="12.75">
      <c r="A586" s="66">
        <f t="shared" si="34"/>
        <v>0</v>
      </c>
    </row>
    <row r="587" ht="12.75">
      <c r="A587" s="66">
        <f t="shared" si="34"/>
        <v>0</v>
      </c>
    </row>
    <row r="588" ht="12.75">
      <c r="A588" s="66">
        <f t="shared" si="34"/>
        <v>0</v>
      </c>
    </row>
    <row r="589" ht="12.75">
      <c r="A589" s="66">
        <f t="shared" si="34"/>
        <v>0</v>
      </c>
    </row>
    <row r="590" ht="12.75">
      <c r="A590" s="66">
        <f t="shared" si="34"/>
        <v>0</v>
      </c>
    </row>
    <row r="591" ht="12.75">
      <c r="A591" s="66">
        <f t="shared" si="34"/>
        <v>0</v>
      </c>
    </row>
    <row r="592" ht="12.75">
      <c r="A592" s="66">
        <f t="shared" si="34"/>
        <v>0</v>
      </c>
    </row>
    <row r="593" ht="12.75">
      <c r="A593" s="66">
        <f aca="true" t="shared" si="35" ref="A593:A606">F593</f>
        <v>0</v>
      </c>
    </row>
    <row r="594" ht="12.75">
      <c r="A594" s="66">
        <f t="shared" si="35"/>
        <v>0</v>
      </c>
    </row>
    <row r="595" ht="12.75">
      <c r="A595" s="66">
        <f t="shared" si="35"/>
        <v>0</v>
      </c>
    </row>
    <row r="596" ht="12.75">
      <c r="A596" s="66">
        <f t="shared" si="35"/>
        <v>0</v>
      </c>
    </row>
    <row r="597" ht="12.75">
      <c r="A597" s="66">
        <f t="shared" si="35"/>
        <v>0</v>
      </c>
    </row>
    <row r="598" ht="12.75">
      <c r="A598" s="66">
        <f t="shared" si="35"/>
        <v>0</v>
      </c>
    </row>
    <row r="599" ht="12.75">
      <c r="A599" s="66">
        <f t="shared" si="35"/>
        <v>0</v>
      </c>
    </row>
    <row r="600" ht="12.75">
      <c r="A600" s="66">
        <f t="shared" si="35"/>
        <v>0</v>
      </c>
    </row>
    <row r="601" ht="12.75">
      <c r="A601" s="66">
        <f t="shared" si="35"/>
        <v>0</v>
      </c>
    </row>
    <row r="602" ht="12.75">
      <c r="A602" s="66">
        <f t="shared" si="35"/>
        <v>0</v>
      </c>
    </row>
    <row r="603" ht="12.75">
      <c r="A603" s="66">
        <f t="shared" si="35"/>
        <v>0</v>
      </c>
    </row>
    <row r="604" ht="12.75">
      <c r="A604" s="66">
        <f t="shared" si="35"/>
        <v>0</v>
      </c>
    </row>
    <row r="605" ht="12.75">
      <c r="A605" s="66">
        <f t="shared" si="35"/>
        <v>0</v>
      </c>
    </row>
    <row r="606" ht="12.75">
      <c r="A606" s="66">
        <f t="shared" si="35"/>
        <v>0</v>
      </c>
    </row>
  </sheetData>
  <mergeCells count="4">
    <mergeCell ref="B6:D6"/>
    <mergeCell ref="F6:G6"/>
    <mergeCell ref="I6:J6"/>
    <mergeCell ref="A1:S2"/>
  </mergeCells>
  <conditionalFormatting sqref="E15">
    <cfRule type="cellIs" priority="1" dxfId="2" operator="greaterThan" stopIfTrue="1">
      <formula>0</formula>
    </cfRule>
  </conditionalFormatting>
  <conditionalFormatting sqref="J7:L7">
    <cfRule type="cellIs" priority="2" dxfId="0" operator="greaterThan" stopIfTrue="1">
      <formula>0</formula>
    </cfRule>
  </conditionalFormatting>
  <printOptions horizontalCentered="1" verticalCentered="1"/>
  <pageMargins left="0.7874015748031497" right="0.7874015748031497" top="0.5905511811023623" bottom="0.5905511811023623" header="0" footer="0"/>
  <pageSetup horizontalDpi="300" verticalDpi="300" orientation="landscape" r:id="rId4"/>
  <drawing r:id="rId3"/>
  <legacyDrawing r:id="rId2"/>
  <oleObjects>
    <oleObject progId="Equation.3" shapeId="26668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zoomScale="75" zoomScaleNormal="75" workbookViewId="0" topLeftCell="A1">
      <selection activeCell="A3" sqref="A3"/>
    </sheetView>
  </sheetViews>
  <sheetFormatPr defaultColWidth="11.421875" defaultRowHeight="16.5" customHeight="1"/>
  <cols>
    <col min="1" max="16384" width="20.7109375" style="0" customWidth="1"/>
  </cols>
  <sheetData>
    <row r="1" spans="1:14" ht="15.75" customHeight="1">
      <c r="A1" s="284" t="s">
        <v>76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</row>
    <row r="2" spans="1:14" ht="16.5" customHeight="1" thickBot="1">
      <c r="A2" s="286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</row>
    <row r="3" ht="16.5" customHeight="1" thickTop="1"/>
    <row r="4" ht="16.5" customHeight="1" thickBot="1"/>
    <row r="5" spans="2:7" ht="19.5" customHeight="1" thickBot="1">
      <c r="B5" s="176" t="s">
        <v>0</v>
      </c>
      <c r="C5" s="177"/>
      <c r="D5" s="178"/>
      <c r="E5" s="179"/>
      <c r="F5" s="179"/>
      <c r="G5" s="179"/>
    </row>
    <row r="6" spans="2:7" ht="19.5" customHeight="1" thickBot="1">
      <c r="B6" s="180" t="s">
        <v>26</v>
      </c>
      <c r="C6" s="181"/>
      <c r="D6" s="182" t="s">
        <v>7</v>
      </c>
      <c r="E6" s="179"/>
      <c r="F6" s="176" t="s">
        <v>49</v>
      </c>
      <c r="G6" s="178"/>
    </row>
    <row r="7" spans="2:7" ht="19.5" customHeight="1" thickBot="1">
      <c r="B7" s="183" t="s">
        <v>1</v>
      </c>
      <c r="C7" s="184"/>
      <c r="D7" s="185" t="s">
        <v>7</v>
      </c>
      <c r="E7" s="179"/>
      <c r="F7" s="186" t="s">
        <v>29</v>
      </c>
      <c r="G7" s="187">
        <f>MAX($G$15:$G$63)</f>
        <v>0.026101465729497498</v>
      </c>
    </row>
    <row r="8" spans="2:7" ht="19.5" customHeight="1">
      <c r="B8" s="183" t="s">
        <v>10</v>
      </c>
      <c r="C8" s="184">
        <v>0.0001</v>
      </c>
      <c r="D8" s="185"/>
      <c r="E8" s="179"/>
      <c r="F8" s="188"/>
      <c r="G8" s="188"/>
    </row>
    <row r="9" spans="2:7" ht="19.5" customHeight="1">
      <c r="B9" s="189" t="s">
        <v>27</v>
      </c>
      <c r="C9" s="184">
        <v>20000</v>
      </c>
      <c r="D9" s="185"/>
      <c r="E9" s="179"/>
      <c r="F9" s="190"/>
      <c r="G9" s="190"/>
    </row>
    <row r="10" spans="2:7" ht="19.5" customHeight="1">
      <c r="B10" s="189" t="s">
        <v>65</v>
      </c>
      <c r="C10" s="184">
        <v>0.001</v>
      </c>
      <c r="D10" s="185"/>
      <c r="E10" s="179"/>
      <c r="F10" s="190"/>
      <c r="G10" s="190"/>
    </row>
    <row r="11" spans="2:7" ht="19.5" customHeight="1" thickBot="1">
      <c r="B11" s="191" t="s">
        <v>66</v>
      </c>
      <c r="C11" s="192">
        <v>0.0001</v>
      </c>
      <c r="D11" s="193"/>
      <c r="E11" s="179"/>
      <c r="F11" s="179"/>
      <c r="G11" s="179"/>
    </row>
    <row r="12" spans="2:7" ht="19.5" customHeight="1">
      <c r="B12" s="179"/>
      <c r="C12" s="179"/>
      <c r="D12" s="179"/>
      <c r="E12" s="179"/>
      <c r="F12" s="179"/>
      <c r="G12" s="179"/>
    </row>
    <row r="13" spans="2:7" ht="19.5" customHeight="1" thickBot="1">
      <c r="B13" s="179"/>
      <c r="C13" s="179"/>
      <c r="D13" s="179"/>
      <c r="E13" s="179"/>
      <c r="F13" s="179"/>
      <c r="G13" s="179"/>
    </row>
    <row r="14" spans="2:7" ht="19.5" customHeight="1" thickBot="1">
      <c r="B14" s="194" t="s">
        <v>67</v>
      </c>
      <c r="C14" s="177" t="s">
        <v>68</v>
      </c>
      <c r="D14" s="194" t="s">
        <v>69</v>
      </c>
      <c r="E14" s="195" t="s">
        <v>87</v>
      </c>
      <c r="F14" s="195" t="s">
        <v>88</v>
      </c>
      <c r="G14" s="194" t="s">
        <v>29</v>
      </c>
    </row>
    <row r="15" spans="2:7" ht="19.5" customHeight="1">
      <c r="B15" s="196">
        <f>1/SQRT($C$10)</f>
        <v>31.622776601683796</v>
      </c>
      <c r="C15" s="196">
        <f>-2*LOG(($C$8/3.7)+((2.51*B15)/($C$9)))</f>
        <v>4.796817406807629</v>
      </c>
      <c r="D15" s="196">
        <f>(-2/LN(10))*((2.51/$C$9)/(($C$8/3.7)+(2.51*B15/$C$9)))</f>
        <v>-0.02728140520965513</v>
      </c>
      <c r="E15" s="196">
        <f>(B15-((C15-B15)/(D15-1)))</f>
        <v>5.509231609207923</v>
      </c>
      <c r="F15" s="179" t="str">
        <f>IF(ABS(B15-E15)&lt;=$C$11,"Sí","No")</f>
        <v>No</v>
      </c>
      <c r="G15" s="197">
        <f>IF($C$9&lt;=2200,64/$C$9,IF(F15="Sí",1/(E15^2),""))</f>
      </c>
    </row>
    <row r="16" spans="2:7" ht="19.5" customHeight="1">
      <c r="B16" s="196">
        <f>IF(F15="No",E15,"")</f>
        <v>5.509231609207923</v>
      </c>
      <c r="C16" s="196">
        <f>IF(F15="","",IF(F15="Sí","",-2*LOG(($C$8/3.7)+((2.51*B16)/($C$9)))))</f>
        <v>6.2872243184740855</v>
      </c>
      <c r="D16" s="196">
        <f>IF(F15="","",IF(F15="Sí","",(-2/LN(10))*((2.51/$C$9)/(($C$8/3.7)+(2.51*B16/$C$9)))))</f>
        <v>-0.15172955776513636</v>
      </c>
      <c r="E16" s="196">
        <f>IF(F15="","",IF(F15="Sí","",(B16-((C16-B16)/(D16-1)))))</f>
        <v>6.184731082170839</v>
      </c>
      <c r="F16" s="179" t="str">
        <f>IF(F15="","",IF(F15="Sí","",IF(ABS(B16-E16)&lt;=$C$11,"Sí","No")))</f>
        <v>No</v>
      </c>
      <c r="G16" s="197">
        <f>IF(F15="","",IF(F15="Sí","",IF($C$9&lt;=2200,64/$C$9,IF(F16="Sí",1/(E16^2),""))))</f>
      </c>
    </row>
    <row r="17" spans="2:7" ht="19.5" customHeight="1">
      <c r="B17" s="196">
        <f>IF(F16="No",E16,"")</f>
        <v>6.184731082170839</v>
      </c>
      <c r="C17" s="196">
        <f>IF(F16="","",IF(F16="Sí","",-2*LOG(($C$8/3.7)+((2.51*B17)/($C$9)))))</f>
        <v>6.190340945206869</v>
      </c>
      <c r="D17" s="196">
        <f>IF(F16="","",IF(F16="Sí","",(-2/LN(10))*((2.51/$C$9)/(($C$8/3.7)+(2.51*B17/$C$9)))))</f>
        <v>-0.13571520448335284</v>
      </c>
      <c r="E17" s="196">
        <f>IF(F16="","",IF(F16="Sí","",(B17-((C17-B17)/(D17-1)))))</f>
        <v>6.189670580219192</v>
      </c>
      <c r="F17" s="179" t="str">
        <f>IF(F16="","",IF(F16="Sí","",IF(ABS(B17-E17)&lt;=$C$11,"Sí","No")))</f>
        <v>No</v>
      </c>
      <c r="G17" s="197">
        <f>IF(F16="","",IF(F16="Sí","",IF($C$9&lt;=2200,64/$C$9,IF(F17="Sí",1/(E17^2),""))))</f>
      </c>
    </row>
    <row r="18" spans="2:7" ht="19.5" customHeight="1">
      <c r="B18" s="196">
        <f>IF(F17="No",E17,"")</f>
        <v>6.189670580219192</v>
      </c>
      <c r="C18" s="196">
        <f>IF(F17="","",IF(F17="Sí","",-2*LOG(($C$8/3.7)+((2.51*B18)/($C$9)))))</f>
        <v>6.1896708387753945</v>
      </c>
      <c r="D18" s="196">
        <f>IF(F17="","",IF(F17="Sí","",(-2/LN(10))*((2.51/$C$9)/(($C$8/3.7)+(2.51*B18/$C$9)))))</f>
        <v>-0.13561054213649332</v>
      </c>
      <c r="E18" s="196">
        <f>IF(F17="","",IF(F17="Sí","",(B18-((C18-B18)/(D18-1)))))</f>
        <v>6.189670807899539</v>
      </c>
      <c r="F18" s="179" t="str">
        <f>IF(F17="","",IF(F17="Sí","",IF(ABS(B18-E18)&lt;=$C$11,"Sí","No")))</f>
        <v>Sí</v>
      </c>
      <c r="G18" s="197">
        <f>IF(F17="","",IF(F17="Sí","",IF($C$9&lt;=2200,64/$C$9,IF(F18="Sí",1/(E18^2),""))))</f>
        <v>0.026101465729497498</v>
      </c>
    </row>
    <row r="19" spans="2:7" ht="19.5" customHeight="1">
      <c r="B19" s="196">
        <f>IF(F18="","",IF(F18="Sí","",-2*LOG(($C$8/3.7)+((2.51*#REF!)/($C$9)))))</f>
      </c>
      <c r="C19" s="196">
        <f>IF(F18="","",IF(F18="Sí","",(-2/LN(10))*((2.51/$C$9)/(($C$8/3.7)+(2.51*#REF!/$C$9)))))</f>
      </c>
      <c r="D19" s="196">
        <f>IF(F18="","",IF(F18="Sí","",(#REF!-((B19-#REF!)/(C19-1)))))</f>
      </c>
      <c r="E19" s="179">
        <f>IF(F18="","",IF(F18="Sí","",IF(ABS(#REF!-D19)&lt;=$C$11,"Sí","No")))</f>
      </c>
      <c r="F19" s="197">
        <f>IF(F18="","",IF(F18="Sí","",IF($C$9&lt;=2200,64/$C$9,IF(E19="Sí",1/(D19^2),""))))</f>
      </c>
      <c r="G19" s="179"/>
    </row>
    <row r="20" spans="2:8" ht="16.5" customHeight="1">
      <c r="B20" s="95">
        <f>IF(E19="No",D19,"")</f>
      </c>
      <c r="D20" s="95">
        <f>IF(E19="","",IF(E19="Sí","",-2*LOG(($C$8/3.7)+((2.51*B20)/($C$9)))))</f>
      </c>
      <c r="E20" s="95">
        <f>IF(E19="","",IF(E19="Sí","",(-2/LN(10))*((2.51/$C$9)/(($C$8/3.7)+(2.51*B20/$C$9)))))</f>
      </c>
      <c r="F20" s="95">
        <f>IF(E19="","",IF(E19="Sí","",(B20-((D20-B20)/(E20-1)))))</f>
      </c>
      <c r="G20">
        <f>IF(E19="","",IF(E19="Sí","",IF(ABS(B20-F20)&lt;=$C$11,"Sí","No")))</f>
      </c>
      <c r="H20" s="13">
        <f>IF(E19="","",IF(E19="Sí","",IF($C$9&lt;=2200,64/$C$9,IF(G20="Sí",1/(F20^2),""))))</f>
      </c>
    </row>
    <row r="21" spans="2:8" ht="16.5" customHeight="1">
      <c r="B21" s="95">
        <f>IF(G20="No",F20,"")</f>
      </c>
      <c r="D21" s="95">
        <f>IF(G20="","",IF(G20="Sí","",-2*LOG(($C$8/3.7)+((2.51*B21)/($C$9)))))</f>
      </c>
      <c r="E21" s="95">
        <f>IF(G20="","",IF(G20="Sí","",(-2/LN(10))*((2.51/$C$9)/(($C$8/3.7)+(2.51*B21/$C$9)))))</f>
      </c>
      <c r="F21" s="95">
        <f>IF(G20="","",IF(G20="Sí","",(B21-((D21-B21)/(E21-1)))))</f>
      </c>
      <c r="G21">
        <f>IF(G20="","",IF(G20="Sí","",IF(ABS(B21-F21)&lt;=$C$11,"Sí","No")))</f>
      </c>
      <c r="H21" s="13">
        <f>IF(G20="","",IF(G20="Sí","",IF($C$9&lt;=2200,64/$C$9,IF(G21="Sí",1/(F21^2),""))))</f>
      </c>
    </row>
    <row r="22" spans="2:7" ht="16.5" customHeight="1">
      <c r="B22" s="95">
        <f>IF(G21="No",F21,"")</f>
      </c>
      <c r="C22" s="95">
        <f>IF(G21="","",IF(G21="Sí","",-2*LOG(($C$8/3.7)+((2.51*B22)/($C$9)))))</f>
      </c>
      <c r="D22" s="95">
        <f>IF(G21="","",IF(G21="Sí","",(-2/LN(10))*((2.51/$C$9)/(($C$8/3.7)+(2.51*B22/$C$9)))))</f>
      </c>
      <c r="E22" s="95">
        <f>IF(G21="","",IF(G21="Sí","",(B22-((C22-B22)/(D22-1)))))</f>
      </c>
      <c r="F22">
        <f>IF(G21="","",IF(G21="Sí","",IF(ABS(B22-E22)&lt;=$C$11,"Sí","No")))</f>
      </c>
      <c r="G22" s="13">
        <f>IF(G21="","",IF(G21="Sí","",IF($C$9&lt;=2200,64/$C$9,IF(F22="Sí",1/(E22^2),""))))</f>
      </c>
    </row>
    <row r="23" spans="2:7" ht="16.5" customHeight="1">
      <c r="B23" s="95">
        <f>IF(F22="No",E22,"")</f>
      </c>
      <c r="C23" s="95">
        <f aca="true" t="shared" si="0" ref="C23:C63">IF(F22="","",IF(F22="Sí","",-2*LOG(($C$8/3.7)+((2.51*B23)/($C$9)))))</f>
      </c>
      <c r="D23" s="95">
        <f aca="true" t="shared" si="1" ref="D23:D63">IF(F22="","",IF(F22="Sí","",(-2/LN(10))*((2.51/$C$9)/(($C$8/3.7)+(2.51*B23/$C$9)))))</f>
      </c>
      <c r="E23" s="95">
        <f>IF(F22="","",IF(F22="Sí","",(B23-((C23-B23)/(D23-1)))))</f>
      </c>
      <c r="F23">
        <f aca="true" t="shared" si="2" ref="F23:F63">IF(F22="","",IF(F22="Sí","",IF(ABS(B23-E23)&lt;=$C$11,"Sí","No")))</f>
      </c>
      <c r="G23" s="13">
        <f aca="true" t="shared" si="3" ref="G23:G63">IF(F22="","",IF(F22="Sí","",IF($C$9&lt;=2200,64/$C$9,IF(F23="Sí",1/(E23^2),""))))</f>
      </c>
    </row>
    <row r="24" spans="2:7" ht="16.5" customHeight="1">
      <c r="B24" s="95">
        <f>IF(F23="No",E23,"")</f>
      </c>
      <c r="C24" s="95">
        <f t="shared" si="0"/>
      </c>
      <c r="D24" s="95">
        <f t="shared" si="1"/>
      </c>
      <c r="E24" s="95">
        <f>IF(F23="","",IF(F23="Sí","",(B24-((C24-B24)/(D24-1)))))</f>
      </c>
      <c r="F24">
        <f t="shared" si="2"/>
      </c>
      <c r="G24" s="13">
        <f t="shared" si="3"/>
      </c>
    </row>
    <row r="25" spans="2:7" ht="16.5" customHeight="1">
      <c r="B25" s="95">
        <f>IF(F24="No",E24,"")</f>
      </c>
      <c r="C25" s="95">
        <f t="shared" si="0"/>
      </c>
      <c r="D25" s="95">
        <f t="shared" si="1"/>
      </c>
      <c r="E25" s="95">
        <f>IF(F24="","",IF(F24="Sí","",(B25-((C25-B25)/(D25-1)))))</f>
      </c>
      <c r="F25">
        <f t="shared" si="2"/>
      </c>
      <c r="G25" s="13">
        <f t="shared" si="3"/>
      </c>
    </row>
    <row r="26" spans="2:7" ht="16.5" customHeight="1">
      <c r="B26" s="95">
        <f>IF(F25="No",E25,"")</f>
      </c>
      <c r="C26" s="95">
        <f t="shared" si="0"/>
      </c>
      <c r="D26" s="95">
        <f t="shared" si="1"/>
      </c>
      <c r="E26" s="95">
        <f>IF(F25="","",IF(F25="Sí","",(B26-((C26-B26)/(D26-1)))))</f>
      </c>
      <c r="F26">
        <f t="shared" si="2"/>
      </c>
      <c r="G26" s="13">
        <f t="shared" si="3"/>
      </c>
    </row>
    <row r="27" spans="2:7" ht="16.5" customHeight="1">
      <c r="B27" s="95">
        <f>IF(F26="No",E26,"")</f>
      </c>
      <c r="C27" s="95">
        <f t="shared" si="0"/>
      </c>
      <c r="D27" s="95">
        <f t="shared" si="1"/>
      </c>
      <c r="E27" s="95">
        <f>IF(F26="","",IF(F26="Sí","",(B27-((C27-B27)/(D27-1)))))</f>
      </c>
      <c r="F27">
        <f t="shared" si="2"/>
      </c>
      <c r="G27" s="13">
        <f t="shared" si="3"/>
      </c>
    </row>
    <row r="28" spans="2:7" ht="16.5" customHeight="1">
      <c r="B28" s="95">
        <f aca="true" t="shared" si="4" ref="B28:B47">IF(F27="No",E27,"")</f>
      </c>
      <c r="C28" s="95">
        <f t="shared" si="0"/>
      </c>
      <c r="D28" s="95">
        <f t="shared" si="1"/>
      </c>
      <c r="E28" s="95">
        <f aca="true" t="shared" si="5" ref="E28:E47">IF(F27="","",IF(F27="Sí","",(B28-((C28-B28)/(D28-1)))))</f>
      </c>
      <c r="F28">
        <f t="shared" si="2"/>
      </c>
      <c r="G28" s="13">
        <f t="shared" si="3"/>
      </c>
    </row>
    <row r="29" spans="2:7" ht="16.5" customHeight="1">
      <c r="B29" s="95">
        <f t="shared" si="4"/>
      </c>
      <c r="C29" s="95">
        <f t="shared" si="0"/>
      </c>
      <c r="D29" s="95">
        <f t="shared" si="1"/>
      </c>
      <c r="E29" s="95">
        <f t="shared" si="5"/>
      </c>
      <c r="F29">
        <f t="shared" si="2"/>
      </c>
      <c r="G29" s="13">
        <f t="shared" si="3"/>
      </c>
    </row>
    <row r="30" spans="2:7" ht="16.5" customHeight="1">
      <c r="B30" s="95">
        <f t="shared" si="4"/>
      </c>
      <c r="C30" s="95">
        <f t="shared" si="0"/>
      </c>
      <c r="D30" s="95">
        <f t="shared" si="1"/>
      </c>
      <c r="E30" s="95">
        <f t="shared" si="5"/>
      </c>
      <c r="F30">
        <f t="shared" si="2"/>
      </c>
      <c r="G30" s="13">
        <f t="shared" si="3"/>
      </c>
    </row>
    <row r="31" spans="2:7" ht="16.5" customHeight="1">
      <c r="B31" s="95">
        <f t="shared" si="4"/>
      </c>
      <c r="C31" s="95">
        <f t="shared" si="0"/>
      </c>
      <c r="D31" s="95">
        <f t="shared" si="1"/>
      </c>
      <c r="E31" s="95">
        <f t="shared" si="5"/>
      </c>
      <c r="F31">
        <f t="shared" si="2"/>
      </c>
      <c r="G31" s="13">
        <f t="shared" si="3"/>
      </c>
    </row>
    <row r="32" spans="2:7" ht="16.5" customHeight="1">
      <c r="B32" s="95">
        <f t="shared" si="4"/>
      </c>
      <c r="C32" s="95">
        <f t="shared" si="0"/>
      </c>
      <c r="D32" s="95">
        <f t="shared" si="1"/>
      </c>
      <c r="E32" s="95">
        <f t="shared" si="5"/>
      </c>
      <c r="F32">
        <f t="shared" si="2"/>
      </c>
      <c r="G32" s="13">
        <f t="shared" si="3"/>
      </c>
    </row>
    <row r="33" spans="2:7" ht="16.5" customHeight="1">
      <c r="B33" s="95">
        <f t="shared" si="4"/>
      </c>
      <c r="C33" s="95">
        <f t="shared" si="0"/>
      </c>
      <c r="D33" s="95">
        <f t="shared" si="1"/>
      </c>
      <c r="E33" s="95">
        <f t="shared" si="5"/>
      </c>
      <c r="F33">
        <f t="shared" si="2"/>
      </c>
      <c r="G33" s="13">
        <f t="shared" si="3"/>
      </c>
    </row>
    <row r="34" spans="2:7" ht="16.5" customHeight="1">
      <c r="B34" s="95">
        <f t="shared" si="4"/>
      </c>
      <c r="C34" s="95">
        <f t="shared" si="0"/>
      </c>
      <c r="D34" s="95">
        <f t="shared" si="1"/>
      </c>
      <c r="E34" s="95">
        <f t="shared" si="5"/>
      </c>
      <c r="F34">
        <f t="shared" si="2"/>
      </c>
      <c r="G34" s="13">
        <f t="shared" si="3"/>
      </c>
    </row>
    <row r="35" spans="2:7" ht="16.5" customHeight="1">
      <c r="B35" s="95">
        <f t="shared" si="4"/>
      </c>
      <c r="C35" s="95">
        <f t="shared" si="0"/>
      </c>
      <c r="D35" s="95">
        <f t="shared" si="1"/>
      </c>
      <c r="E35" s="95">
        <f t="shared" si="5"/>
      </c>
      <c r="F35">
        <f t="shared" si="2"/>
      </c>
      <c r="G35" s="13">
        <f t="shared" si="3"/>
      </c>
    </row>
    <row r="36" spans="2:7" ht="16.5" customHeight="1">
      <c r="B36" s="95">
        <f t="shared" si="4"/>
      </c>
      <c r="C36" s="95">
        <f t="shared" si="0"/>
      </c>
      <c r="D36" s="95">
        <f t="shared" si="1"/>
      </c>
      <c r="E36" s="95">
        <f t="shared" si="5"/>
      </c>
      <c r="F36">
        <f t="shared" si="2"/>
      </c>
      <c r="G36" s="13">
        <f t="shared" si="3"/>
      </c>
    </row>
    <row r="37" spans="2:7" ht="16.5" customHeight="1">
      <c r="B37" s="95">
        <f t="shared" si="4"/>
      </c>
      <c r="C37" s="95">
        <f t="shared" si="0"/>
      </c>
      <c r="D37" s="95">
        <f t="shared" si="1"/>
      </c>
      <c r="E37" s="95">
        <f t="shared" si="5"/>
      </c>
      <c r="F37">
        <f t="shared" si="2"/>
      </c>
      <c r="G37" s="13">
        <f t="shared" si="3"/>
      </c>
    </row>
    <row r="38" spans="2:7" ht="16.5" customHeight="1">
      <c r="B38" s="95">
        <f t="shared" si="4"/>
      </c>
      <c r="C38" s="95">
        <f t="shared" si="0"/>
      </c>
      <c r="D38" s="95">
        <f t="shared" si="1"/>
      </c>
      <c r="E38" s="95">
        <f t="shared" si="5"/>
      </c>
      <c r="F38">
        <f t="shared" si="2"/>
      </c>
      <c r="G38" s="13">
        <f t="shared" si="3"/>
      </c>
    </row>
    <row r="39" spans="2:7" ht="16.5" customHeight="1">
      <c r="B39" s="95">
        <f t="shared" si="4"/>
      </c>
      <c r="C39" s="95">
        <f t="shared" si="0"/>
      </c>
      <c r="D39" s="95">
        <f t="shared" si="1"/>
      </c>
      <c r="E39" s="95">
        <f t="shared" si="5"/>
      </c>
      <c r="F39">
        <f t="shared" si="2"/>
      </c>
      <c r="G39" s="13">
        <f t="shared" si="3"/>
      </c>
    </row>
    <row r="40" spans="2:7" ht="16.5" customHeight="1">
      <c r="B40" s="95">
        <f t="shared" si="4"/>
      </c>
      <c r="C40" s="95">
        <f t="shared" si="0"/>
      </c>
      <c r="D40" s="95">
        <f t="shared" si="1"/>
      </c>
      <c r="E40" s="95">
        <f t="shared" si="5"/>
      </c>
      <c r="F40">
        <f t="shared" si="2"/>
      </c>
      <c r="G40" s="13">
        <f t="shared" si="3"/>
      </c>
    </row>
    <row r="41" spans="2:7" ht="16.5" customHeight="1">
      <c r="B41" s="95">
        <f t="shared" si="4"/>
      </c>
      <c r="C41" s="95">
        <f t="shared" si="0"/>
      </c>
      <c r="D41" s="95">
        <f t="shared" si="1"/>
      </c>
      <c r="E41" s="95">
        <f t="shared" si="5"/>
      </c>
      <c r="F41">
        <f t="shared" si="2"/>
      </c>
      <c r="G41" s="13">
        <f t="shared" si="3"/>
      </c>
    </row>
    <row r="42" spans="2:7" ht="16.5" customHeight="1">
      <c r="B42" s="95">
        <f t="shared" si="4"/>
      </c>
      <c r="C42" s="95">
        <f t="shared" si="0"/>
      </c>
      <c r="D42" s="95">
        <f t="shared" si="1"/>
      </c>
      <c r="E42" s="95">
        <f t="shared" si="5"/>
      </c>
      <c r="F42">
        <f t="shared" si="2"/>
      </c>
      <c r="G42" s="13">
        <f t="shared" si="3"/>
      </c>
    </row>
    <row r="43" spans="2:7" ht="16.5" customHeight="1">
      <c r="B43" s="95">
        <f t="shared" si="4"/>
      </c>
      <c r="C43" s="95">
        <f t="shared" si="0"/>
      </c>
      <c r="D43" s="95">
        <f t="shared" si="1"/>
      </c>
      <c r="E43" s="95">
        <f t="shared" si="5"/>
      </c>
      <c r="F43">
        <f t="shared" si="2"/>
      </c>
      <c r="G43" s="13">
        <f t="shared" si="3"/>
      </c>
    </row>
    <row r="44" spans="2:7" ht="16.5" customHeight="1">
      <c r="B44" s="95">
        <f t="shared" si="4"/>
      </c>
      <c r="C44" s="95">
        <f t="shared" si="0"/>
      </c>
      <c r="D44" s="95">
        <f t="shared" si="1"/>
      </c>
      <c r="E44" s="95">
        <f t="shared" si="5"/>
      </c>
      <c r="F44">
        <f t="shared" si="2"/>
      </c>
      <c r="G44" s="13">
        <f t="shared" si="3"/>
      </c>
    </row>
    <row r="45" spans="2:7" ht="16.5" customHeight="1">
      <c r="B45" s="95">
        <f t="shared" si="4"/>
      </c>
      <c r="C45" s="95">
        <f t="shared" si="0"/>
      </c>
      <c r="D45" s="95">
        <f t="shared" si="1"/>
      </c>
      <c r="E45" s="95">
        <f t="shared" si="5"/>
      </c>
      <c r="F45">
        <f t="shared" si="2"/>
      </c>
      <c r="G45" s="13">
        <f t="shared" si="3"/>
      </c>
    </row>
    <row r="46" spans="2:7" ht="16.5" customHeight="1">
      <c r="B46" s="95">
        <f t="shared" si="4"/>
      </c>
      <c r="C46" s="95">
        <f t="shared" si="0"/>
      </c>
      <c r="D46" s="95">
        <f t="shared" si="1"/>
      </c>
      <c r="E46" s="95">
        <f t="shared" si="5"/>
      </c>
      <c r="F46">
        <f t="shared" si="2"/>
      </c>
      <c r="G46" s="13">
        <f t="shared" si="3"/>
      </c>
    </row>
    <row r="47" spans="2:7" ht="16.5" customHeight="1">
      <c r="B47" s="95">
        <f t="shared" si="4"/>
      </c>
      <c r="C47" s="95">
        <f t="shared" si="0"/>
      </c>
      <c r="D47" s="95">
        <f t="shared" si="1"/>
      </c>
      <c r="E47" s="95">
        <f t="shared" si="5"/>
      </c>
      <c r="F47">
        <f t="shared" si="2"/>
      </c>
      <c r="G47" s="13">
        <f t="shared" si="3"/>
      </c>
    </row>
    <row r="48" spans="2:7" ht="16.5" customHeight="1">
      <c r="B48" s="95">
        <f>IF(F47="No",E47,"")</f>
      </c>
      <c r="C48" s="95">
        <f t="shared" si="0"/>
      </c>
      <c r="D48" s="95">
        <f t="shared" si="1"/>
      </c>
      <c r="E48" s="95">
        <f>IF(F47="","",IF(F47="Sí","",(B48-((C48-B48)/(D48-1)))))</f>
      </c>
      <c r="F48">
        <f t="shared" si="2"/>
      </c>
      <c r="G48" s="13">
        <f t="shared" si="3"/>
      </c>
    </row>
    <row r="49" spans="2:7" ht="16.5" customHeight="1">
      <c r="B49" s="95">
        <f aca="true" t="shared" si="6" ref="B49:B63">IF(F48="No",E48,"")</f>
      </c>
      <c r="C49" s="95">
        <f t="shared" si="0"/>
      </c>
      <c r="D49" s="95">
        <f t="shared" si="1"/>
      </c>
      <c r="E49" s="95">
        <f aca="true" t="shared" si="7" ref="E49:E63">IF(F48="","",IF(F48="Sí","",(B49-((C49-B49)/(D49-1)))))</f>
      </c>
      <c r="F49">
        <f t="shared" si="2"/>
      </c>
      <c r="G49" s="13">
        <f t="shared" si="3"/>
      </c>
    </row>
    <row r="50" spans="2:7" ht="16.5" customHeight="1">
      <c r="B50" s="95">
        <f t="shared" si="6"/>
      </c>
      <c r="C50" s="95">
        <f t="shared" si="0"/>
      </c>
      <c r="D50" s="95">
        <f t="shared" si="1"/>
      </c>
      <c r="E50" s="95">
        <f t="shared" si="7"/>
      </c>
      <c r="F50">
        <f t="shared" si="2"/>
      </c>
      <c r="G50" s="13">
        <f t="shared" si="3"/>
      </c>
    </row>
    <row r="51" spans="2:7" ht="16.5" customHeight="1">
      <c r="B51" s="95">
        <f t="shared" si="6"/>
      </c>
      <c r="C51" s="95">
        <f t="shared" si="0"/>
      </c>
      <c r="D51" s="95">
        <f t="shared" si="1"/>
      </c>
      <c r="E51" s="95">
        <f t="shared" si="7"/>
      </c>
      <c r="F51">
        <f t="shared" si="2"/>
      </c>
      <c r="G51" s="13">
        <f t="shared" si="3"/>
      </c>
    </row>
    <row r="52" spans="2:7" ht="16.5" customHeight="1">
      <c r="B52" s="95">
        <f t="shared" si="6"/>
      </c>
      <c r="C52" s="95">
        <f t="shared" si="0"/>
      </c>
      <c r="D52" s="95">
        <f t="shared" si="1"/>
      </c>
      <c r="E52" s="95">
        <f t="shared" si="7"/>
      </c>
      <c r="F52">
        <f t="shared" si="2"/>
      </c>
      <c r="G52" s="13">
        <f t="shared" si="3"/>
      </c>
    </row>
    <row r="53" spans="2:7" ht="16.5" customHeight="1">
      <c r="B53" s="95">
        <f t="shared" si="6"/>
      </c>
      <c r="C53" s="95">
        <f t="shared" si="0"/>
      </c>
      <c r="D53" s="95">
        <f t="shared" si="1"/>
      </c>
      <c r="E53" s="95">
        <f t="shared" si="7"/>
      </c>
      <c r="F53">
        <f t="shared" si="2"/>
      </c>
      <c r="G53" s="13">
        <f t="shared" si="3"/>
      </c>
    </row>
    <row r="54" spans="2:7" ht="16.5" customHeight="1">
      <c r="B54" s="95">
        <f t="shared" si="6"/>
      </c>
      <c r="C54" s="95">
        <f t="shared" si="0"/>
      </c>
      <c r="D54" s="95">
        <f t="shared" si="1"/>
      </c>
      <c r="E54" s="95">
        <f t="shared" si="7"/>
      </c>
      <c r="F54">
        <f t="shared" si="2"/>
      </c>
      <c r="G54" s="13">
        <f t="shared" si="3"/>
      </c>
    </row>
    <row r="55" spans="2:7" ht="16.5" customHeight="1">
      <c r="B55" s="95">
        <f t="shared" si="6"/>
      </c>
      <c r="C55" s="95">
        <f t="shared" si="0"/>
      </c>
      <c r="D55" s="95">
        <f t="shared" si="1"/>
      </c>
      <c r="E55" s="95">
        <f t="shared" si="7"/>
      </c>
      <c r="F55">
        <f t="shared" si="2"/>
      </c>
      <c r="G55" s="13">
        <f t="shared" si="3"/>
      </c>
    </row>
    <row r="56" spans="2:7" ht="16.5" customHeight="1">
      <c r="B56" s="95">
        <f t="shared" si="6"/>
      </c>
      <c r="C56" s="95">
        <f t="shared" si="0"/>
      </c>
      <c r="D56" s="95">
        <f t="shared" si="1"/>
      </c>
      <c r="E56" s="95">
        <f t="shared" si="7"/>
      </c>
      <c r="F56">
        <f t="shared" si="2"/>
      </c>
      <c r="G56" s="13">
        <f t="shared" si="3"/>
      </c>
    </row>
    <row r="57" spans="2:7" ht="16.5" customHeight="1">
      <c r="B57" s="95">
        <f t="shared" si="6"/>
      </c>
      <c r="C57" s="95">
        <f t="shared" si="0"/>
      </c>
      <c r="D57" s="95">
        <f t="shared" si="1"/>
      </c>
      <c r="E57" s="95">
        <f t="shared" si="7"/>
      </c>
      <c r="F57">
        <f t="shared" si="2"/>
      </c>
      <c r="G57" s="13">
        <f t="shared" si="3"/>
      </c>
    </row>
    <row r="58" spans="2:7" ht="16.5" customHeight="1">
      <c r="B58" s="95">
        <f t="shared" si="6"/>
      </c>
      <c r="C58" s="95">
        <f t="shared" si="0"/>
      </c>
      <c r="D58" s="95">
        <f t="shared" si="1"/>
      </c>
      <c r="E58" s="95">
        <f t="shared" si="7"/>
      </c>
      <c r="F58">
        <f t="shared" si="2"/>
      </c>
      <c r="G58" s="13">
        <f t="shared" si="3"/>
      </c>
    </row>
    <row r="59" spans="2:7" ht="16.5" customHeight="1">
      <c r="B59" s="95">
        <f t="shared" si="6"/>
      </c>
      <c r="C59" s="95">
        <f t="shared" si="0"/>
      </c>
      <c r="D59" s="95">
        <f t="shared" si="1"/>
      </c>
      <c r="E59" s="95">
        <f t="shared" si="7"/>
      </c>
      <c r="F59">
        <f t="shared" si="2"/>
      </c>
      <c r="G59" s="13">
        <f t="shared" si="3"/>
      </c>
    </row>
    <row r="60" spans="2:7" ht="16.5" customHeight="1">
      <c r="B60" s="95">
        <f t="shared" si="6"/>
      </c>
      <c r="C60" s="95">
        <f t="shared" si="0"/>
      </c>
      <c r="D60" s="95">
        <f t="shared" si="1"/>
      </c>
      <c r="E60" s="95">
        <f t="shared" si="7"/>
      </c>
      <c r="F60">
        <f t="shared" si="2"/>
      </c>
      <c r="G60" s="13">
        <f t="shared" si="3"/>
      </c>
    </row>
    <row r="61" spans="2:7" ht="16.5" customHeight="1">
      <c r="B61" s="95">
        <f t="shared" si="6"/>
      </c>
      <c r="C61" s="95">
        <f t="shared" si="0"/>
      </c>
      <c r="D61" s="95">
        <f t="shared" si="1"/>
      </c>
      <c r="E61" s="95">
        <f t="shared" si="7"/>
      </c>
      <c r="F61">
        <f t="shared" si="2"/>
      </c>
      <c r="G61" s="13">
        <f t="shared" si="3"/>
      </c>
    </row>
    <row r="62" spans="2:7" ht="16.5" customHeight="1">
      <c r="B62" s="95">
        <f t="shared" si="6"/>
      </c>
      <c r="C62" s="95">
        <f t="shared" si="0"/>
      </c>
      <c r="D62" s="95">
        <f t="shared" si="1"/>
      </c>
      <c r="E62" s="95">
        <f t="shared" si="7"/>
      </c>
      <c r="F62">
        <f t="shared" si="2"/>
      </c>
      <c r="G62" s="13">
        <f t="shared" si="3"/>
      </c>
    </row>
    <row r="63" spans="2:7" ht="16.5" customHeight="1">
      <c r="B63" s="95">
        <f t="shared" si="6"/>
      </c>
      <c r="C63" s="95">
        <f t="shared" si="0"/>
      </c>
      <c r="D63" s="95">
        <f t="shared" si="1"/>
      </c>
      <c r="E63" s="95">
        <f t="shared" si="7"/>
      </c>
      <c r="F63">
        <f t="shared" si="2"/>
      </c>
      <c r="G63" s="13">
        <f t="shared" si="3"/>
      </c>
    </row>
  </sheetData>
  <mergeCells count="1">
    <mergeCell ref="A1:N2"/>
  </mergeCells>
  <conditionalFormatting sqref="G7">
    <cfRule type="cellIs" priority="1" dxfId="0" operator="greaterThan" stopIfTrue="1">
      <formula>0</formula>
    </cfRule>
  </conditionalFormatting>
  <conditionalFormatting sqref="G15:G18 G22:G65536 H20:H21 F19">
    <cfRule type="cellIs" priority="2" dxfId="1" operator="greaterThan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1"/>
  <sheetViews>
    <sheetView zoomScale="75" zoomScaleNormal="75" workbookViewId="0" topLeftCell="A1">
      <selection activeCell="A3" sqref="A3"/>
    </sheetView>
  </sheetViews>
  <sheetFormatPr defaultColWidth="11.421875" defaultRowHeight="16.5" customHeight="1"/>
  <cols>
    <col min="1" max="16384" width="12.7109375" style="179" customWidth="1"/>
  </cols>
  <sheetData>
    <row r="1" spans="1:12" ht="16.5" customHeight="1">
      <c r="A1" s="282" t="s">
        <v>77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</row>
    <row r="2" spans="1:12" ht="16.5" customHeight="1" thickBot="1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3" spans="1:10" ht="16.5" customHeight="1" thickTop="1">
      <c r="A3" s="198"/>
      <c r="B3" s="198"/>
      <c r="C3" s="198"/>
      <c r="D3" s="198"/>
      <c r="E3" s="198"/>
      <c r="F3" s="198"/>
      <c r="G3" s="198"/>
      <c r="H3" s="198"/>
      <c r="I3" s="198"/>
      <c r="J3" s="198"/>
    </row>
    <row r="4" ht="16.5" customHeight="1" thickBot="1"/>
    <row r="5" spans="2:4" ht="16.5" customHeight="1" thickBot="1">
      <c r="B5" s="203" t="s">
        <v>0</v>
      </c>
      <c r="C5" s="174"/>
      <c r="D5" s="175"/>
    </row>
    <row r="6" spans="2:4" ht="16.5" customHeight="1" thickBot="1">
      <c r="B6" s="288" t="s">
        <v>12</v>
      </c>
      <c r="C6" s="289"/>
      <c r="D6" s="201"/>
    </row>
    <row r="7" spans="2:4" ht="16.5" customHeight="1">
      <c r="B7" s="199" t="s">
        <v>26</v>
      </c>
      <c r="C7" s="181">
        <v>0.1522</v>
      </c>
      <c r="D7" s="200" t="s">
        <v>7</v>
      </c>
    </row>
    <row r="8" spans="2:8" ht="16.5" customHeight="1" thickBot="1">
      <c r="B8" s="204" t="s">
        <v>2</v>
      </c>
      <c r="C8" s="184">
        <v>970</v>
      </c>
      <c r="D8" s="205" t="s">
        <v>7</v>
      </c>
      <c r="F8" s="202" t="s">
        <v>49</v>
      </c>
      <c r="G8" s="202"/>
      <c r="H8" s="202"/>
    </row>
    <row r="9" spans="2:8" ht="16.5" customHeight="1" thickBot="1">
      <c r="B9" s="206" t="s">
        <v>1</v>
      </c>
      <c r="C9" s="192">
        <v>1.5E-06</v>
      </c>
      <c r="D9" s="207" t="s">
        <v>7</v>
      </c>
      <c r="F9" s="208" t="s">
        <v>35</v>
      </c>
      <c r="G9" s="209">
        <f>PI()*$C$7*$C$7/4</f>
        <v>0.018193622791395747</v>
      </c>
      <c r="H9" s="210" t="s">
        <v>89</v>
      </c>
    </row>
    <row r="10" spans="2:8" ht="16.5" customHeight="1" thickBot="1">
      <c r="B10" s="288" t="s">
        <v>13</v>
      </c>
      <c r="C10" s="289"/>
      <c r="D10" s="201"/>
      <c r="F10" s="211" t="s">
        <v>36</v>
      </c>
      <c r="G10" s="212">
        <f>$C$17/G9</f>
        <v>2.308501197456008</v>
      </c>
      <c r="H10" s="213" t="s">
        <v>41</v>
      </c>
    </row>
    <row r="11" spans="2:8" ht="16.5" customHeight="1" thickBot="1">
      <c r="B11" s="214" t="s">
        <v>4</v>
      </c>
      <c r="C11" s="215">
        <v>9.4</v>
      </c>
      <c r="D11" s="216"/>
      <c r="F11" s="211" t="s">
        <v>37</v>
      </c>
      <c r="G11" s="212">
        <f>($C$11*G10*G10/(2*$C$23))</f>
        <v>2.553224827694431</v>
      </c>
      <c r="H11" s="217" t="s">
        <v>7</v>
      </c>
    </row>
    <row r="12" spans="2:8" ht="16.5" customHeight="1" thickBot="1">
      <c r="B12" s="288" t="s">
        <v>5</v>
      </c>
      <c r="C12" s="289"/>
      <c r="D12" s="201"/>
      <c r="F12" s="211" t="s">
        <v>27</v>
      </c>
      <c r="G12" s="218">
        <f>G10*$C$7/$C$15</f>
        <v>308205.1598708811</v>
      </c>
      <c r="H12" s="213" t="s">
        <v>42</v>
      </c>
    </row>
    <row r="13" spans="2:8" ht="16.5" customHeight="1">
      <c r="B13" s="219" t="s">
        <v>6</v>
      </c>
      <c r="C13" s="181">
        <v>998.2</v>
      </c>
      <c r="D13" s="220" t="s">
        <v>90</v>
      </c>
      <c r="F13" s="211" t="s">
        <v>10</v>
      </c>
      <c r="G13" s="221">
        <f>$C$9/$C$7</f>
        <v>9.855453350854139E-06</v>
      </c>
      <c r="H13" s="213" t="s">
        <v>42</v>
      </c>
    </row>
    <row r="14" spans="2:9" ht="16.5" customHeight="1">
      <c r="B14" s="222" t="s">
        <v>7</v>
      </c>
      <c r="C14" s="184">
        <f>1.005*10^-3</f>
        <v>0.0010049999999999998</v>
      </c>
      <c r="D14" s="205" t="s">
        <v>20</v>
      </c>
      <c r="F14" s="211" t="s">
        <v>70</v>
      </c>
      <c r="G14" s="221">
        <f>G15</f>
        <v>0.014494925045110562</v>
      </c>
      <c r="H14" s="213"/>
      <c r="I14" s="223"/>
    </row>
    <row r="15" spans="2:8" ht="16.5" customHeight="1" thickBot="1">
      <c r="B15" s="224" t="s">
        <v>19</v>
      </c>
      <c r="C15" s="192">
        <f>1.14*10^-6</f>
        <v>1.1399999999999999E-06</v>
      </c>
      <c r="D15" s="225" t="s">
        <v>91</v>
      </c>
      <c r="F15" s="211" t="s">
        <v>29</v>
      </c>
      <c r="G15" s="212">
        <f>(-2*LOG(($G$13/3.7)+(2.51/($G$12*SQRT($G$14)))))^-2</f>
        <v>0.014494925045110562</v>
      </c>
      <c r="H15" s="213" t="s">
        <v>42</v>
      </c>
    </row>
    <row r="16" spans="2:8" ht="16.5" customHeight="1" thickBot="1">
      <c r="B16" s="288" t="s">
        <v>34</v>
      </c>
      <c r="C16" s="289"/>
      <c r="D16" s="201"/>
      <c r="F16" s="211" t="s">
        <v>38</v>
      </c>
      <c r="G16" s="226">
        <f>G15*$C$8*G10*G10/($C$7*2*$C$23)</f>
        <v>25.091941192806022</v>
      </c>
      <c r="H16" s="213" t="s">
        <v>7</v>
      </c>
    </row>
    <row r="17" spans="2:8" ht="16.5" customHeight="1" thickBot="1">
      <c r="B17" s="204" t="s">
        <v>25</v>
      </c>
      <c r="C17" s="215">
        <v>0.042</v>
      </c>
      <c r="D17" s="227" t="s">
        <v>92</v>
      </c>
      <c r="F17" s="211" t="s">
        <v>3</v>
      </c>
      <c r="G17" s="226">
        <f>G11+G16+$C$21</f>
        <v>43.645166020500454</v>
      </c>
      <c r="H17" s="213" t="s">
        <v>7</v>
      </c>
    </row>
    <row r="18" spans="2:8" ht="16.5" customHeight="1" thickBot="1">
      <c r="B18" s="288" t="s">
        <v>32</v>
      </c>
      <c r="C18" s="289"/>
      <c r="D18" s="201"/>
      <c r="F18" s="228" t="s">
        <v>57</v>
      </c>
      <c r="G18" s="229">
        <f>$C$13*$C$17*$C$23*G17/($C$19*1000)</f>
        <v>17.950312477419818</v>
      </c>
      <c r="H18" s="230" t="s">
        <v>40</v>
      </c>
    </row>
    <row r="19" spans="2:4" ht="16.5" customHeight="1" thickBot="1">
      <c r="B19" s="222" t="s">
        <v>33</v>
      </c>
      <c r="C19" s="215">
        <v>1</v>
      </c>
      <c r="D19" s="231"/>
    </row>
    <row r="20" spans="2:4" ht="16.5" customHeight="1" thickBot="1">
      <c r="B20" s="288" t="s">
        <v>14</v>
      </c>
      <c r="C20" s="289"/>
      <c r="D20" s="201"/>
    </row>
    <row r="21" spans="2:4" ht="16.5" customHeight="1" thickBot="1">
      <c r="B21" s="232" t="s">
        <v>8</v>
      </c>
      <c r="C21" s="215">
        <v>16</v>
      </c>
      <c r="D21" s="227" t="s">
        <v>7</v>
      </c>
    </row>
    <row r="22" spans="2:4" ht="16.5" customHeight="1" thickBot="1">
      <c r="B22" s="288" t="s">
        <v>39</v>
      </c>
      <c r="C22" s="289"/>
      <c r="D22" s="201"/>
    </row>
    <row r="23" spans="2:4" ht="16.5" customHeight="1" thickBot="1">
      <c r="B23" s="233" t="s">
        <v>18</v>
      </c>
      <c r="C23" s="215">
        <v>9.81</v>
      </c>
      <c r="D23" s="225" t="s">
        <v>93</v>
      </c>
    </row>
    <row r="24" spans="2:4" ht="16.5" customHeight="1">
      <c r="B24" s="234"/>
      <c r="D24" s="235"/>
    </row>
    <row r="25" ht="16.5" customHeight="1">
      <c r="B25" s="234"/>
    </row>
    <row r="120" spans="3:14" ht="16.5" customHeight="1">
      <c r="C120" s="287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</row>
    <row r="121" spans="3:14" ht="16.5" customHeight="1">
      <c r="C121" s="287"/>
      <c r="D121" s="287"/>
      <c r="E121" s="287"/>
      <c r="F121" s="287"/>
      <c r="G121" s="287"/>
      <c r="H121" s="287"/>
      <c r="I121" s="287"/>
      <c r="J121" s="287"/>
      <c r="K121" s="287"/>
      <c r="L121" s="287"/>
      <c r="M121" s="287"/>
      <c r="N121" s="287"/>
    </row>
  </sheetData>
  <mergeCells count="11">
    <mergeCell ref="A1:L2"/>
    <mergeCell ref="B16:D16"/>
    <mergeCell ref="B18:D18"/>
    <mergeCell ref="B5:D5"/>
    <mergeCell ref="B6:D6"/>
    <mergeCell ref="B10:D10"/>
    <mergeCell ref="B12:D12"/>
    <mergeCell ref="C120:N121"/>
    <mergeCell ref="B20:D20"/>
    <mergeCell ref="B22:D22"/>
    <mergeCell ref="F8:H8"/>
  </mergeCells>
  <conditionalFormatting sqref="G18">
    <cfRule type="cellIs" priority="1" dxfId="3" operator="greaterThan" stopIfTrue="1">
      <formula>0</formula>
    </cfRule>
  </conditionalFormatting>
  <printOptions horizontalCentered="1" verticalCentered="1"/>
  <pageMargins left="0.7874015748031497" right="0.7874015748031497" top="0.5905511811023623" bottom="0.5905511811023623" header="0" footer="0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6"/>
  <sheetViews>
    <sheetView tabSelected="1" zoomScale="75" zoomScaleNormal="75" workbookViewId="0" topLeftCell="A1">
      <selection activeCell="R30" sqref="R30"/>
    </sheetView>
  </sheetViews>
  <sheetFormatPr defaultColWidth="11.421875" defaultRowHeight="12.75"/>
  <cols>
    <col min="1" max="1" width="3.8515625" style="0" customWidth="1"/>
    <col min="2" max="2" width="11.421875" style="52" customWidth="1"/>
    <col min="3" max="3" width="12.421875" style="13" bestFit="1" customWidth="1"/>
    <col min="4" max="4" width="13.7109375" style="52" bestFit="1" customWidth="1"/>
    <col min="5" max="5" width="5.7109375" style="52" customWidth="1"/>
    <col min="6" max="6" width="11.421875" style="52" customWidth="1"/>
    <col min="8" max="8" width="5.7109375" style="52" customWidth="1"/>
    <col min="9" max="9" width="11.421875" style="52" customWidth="1"/>
    <col min="10" max="10" width="13.57421875" style="0" customWidth="1"/>
    <col min="17" max="17" width="12.7109375" style="0" customWidth="1"/>
  </cols>
  <sheetData>
    <row r="1" spans="1:20" ht="17.25" customHeight="1">
      <c r="A1" s="292" t="s">
        <v>78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</row>
    <row r="2" spans="1:20" ht="18" customHeight="1" thickBot="1">
      <c r="A2" s="293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</row>
    <row r="3" ht="13.5" thickTop="1"/>
    <row r="4" spans="2:9" ht="13.5" thickBot="1">
      <c r="B4"/>
      <c r="C4"/>
      <c r="D4"/>
      <c r="I4"/>
    </row>
    <row r="5" spans="2:11" ht="16.5" customHeight="1" thickBot="1">
      <c r="B5" s="203" t="s">
        <v>0</v>
      </c>
      <c r="C5" s="174"/>
      <c r="D5" s="175"/>
      <c r="E5"/>
      <c r="F5" s="203" t="s">
        <v>46</v>
      </c>
      <c r="G5" s="175"/>
      <c r="H5"/>
      <c r="I5" s="203" t="s">
        <v>49</v>
      </c>
      <c r="J5" s="174"/>
      <c r="K5" s="175"/>
    </row>
    <row r="6" spans="2:11" ht="22.5" thickBot="1">
      <c r="B6" s="288" t="s">
        <v>12</v>
      </c>
      <c r="C6" s="289"/>
      <c r="D6" s="201"/>
      <c r="E6"/>
      <c r="F6" s="311" t="s">
        <v>47</v>
      </c>
      <c r="G6" s="311" t="s">
        <v>7</v>
      </c>
      <c r="H6"/>
      <c r="I6" s="317" t="s">
        <v>50</v>
      </c>
      <c r="J6" s="318">
        <v>0.139</v>
      </c>
      <c r="K6" s="319" t="s">
        <v>92</v>
      </c>
    </row>
    <row r="7" spans="2:11" ht="18.75" thickBot="1">
      <c r="B7" s="312" t="s">
        <v>2</v>
      </c>
      <c r="C7" s="181">
        <v>150</v>
      </c>
      <c r="D7" s="205" t="s">
        <v>7</v>
      </c>
      <c r="E7" s="158"/>
      <c r="F7" s="307">
        <v>2</v>
      </c>
      <c r="G7" s="181">
        <v>0.0508</v>
      </c>
      <c r="H7"/>
      <c r="I7" s="320" t="s">
        <v>53</v>
      </c>
      <c r="J7" s="321">
        <v>1.899</v>
      </c>
      <c r="K7" s="322" t="s">
        <v>41</v>
      </c>
    </row>
    <row r="8" spans="2:11" ht="19.5" thickBot="1">
      <c r="B8" s="312" t="s">
        <v>1</v>
      </c>
      <c r="C8" s="184">
        <v>0.00015</v>
      </c>
      <c r="D8" s="205" t="s">
        <v>7</v>
      </c>
      <c r="E8" s="158"/>
      <c r="F8" s="308">
        <v>2.5</v>
      </c>
      <c r="G8" s="184">
        <v>0.0635</v>
      </c>
      <c r="H8"/>
      <c r="I8" s="323" t="s">
        <v>51</v>
      </c>
      <c r="J8" s="318">
        <v>1.594</v>
      </c>
      <c r="K8" s="324" t="s">
        <v>7</v>
      </c>
    </row>
    <row r="9" spans="2:11" ht="18.75" thickBot="1">
      <c r="B9" s="222" t="s">
        <v>99</v>
      </c>
      <c r="C9" s="192">
        <v>0.0508</v>
      </c>
      <c r="D9" s="313" t="s">
        <v>7</v>
      </c>
      <c r="E9" s="158"/>
      <c r="F9" s="309">
        <v>3</v>
      </c>
      <c r="G9" s="184">
        <v>0.07619999999999999</v>
      </c>
      <c r="H9"/>
      <c r="I9" s="320" t="s">
        <v>52</v>
      </c>
      <c r="J9" s="321">
        <v>0.606</v>
      </c>
      <c r="K9" s="322" t="s">
        <v>7</v>
      </c>
    </row>
    <row r="10" spans="2:11" ht="18.75" thickBot="1">
      <c r="B10" s="288" t="s">
        <v>13</v>
      </c>
      <c r="C10" s="289"/>
      <c r="D10" s="201"/>
      <c r="E10" s="158"/>
      <c r="F10" s="309">
        <v>4</v>
      </c>
      <c r="G10" s="184">
        <v>0.1016</v>
      </c>
      <c r="H10"/>
      <c r="I10" s="325" t="s">
        <v>63</v>
      </c>
      <c r="J10" s="326">
        <v>12</v>
      </c>
      <c r="K10" s="324" t="s">
        <v>62</v>
      </c>
    </row>
    <row r="11" spans="2:8" ht="18.75" thickBot="1">
      <c r="B11" s="204" t="s">
        <v>4</v>
      </c>
      <c r="C11" s="215">
        <v>3.3</v>
      </c>
      <c r="D11" s="313"/>
      <c r="E11" s="158"/>
      <c r="F11" s="309">
        <v>6</v>
      </c>
      <c r="G11" s="184">
        <v>0.1524</v>
      </c>
      <c r="H11"/>
    </row>
    <row r="12" spans="2:14" ht="18.75" thickBot="1">
      <c r="B12" s="288" t="s">
        <v>5</v>
      </c>
      <c r="C12" s="289"/>
      <c r="D12" s="201"/>
      <c r="E12" s="158"/>
      <c r="F12" s="309">
        <v>8</v>
      </c>
      <c r="G12" s="184">
        <v>0.2032</v>
      </c>
      <c r="H12"/>
      <c r="I12" s="290" t="s">
        <v>61</v>
      </c>
      <c r="J12" s="291"/>
      <c r="K12" s="291"/>
      <c r="L12" s="1"/>
      <c r="M12" s="50"/>
      <c r="N12" s="2"/>
    </row>
    <row r="13" spans="2:9" ht="22.5" thickBot="1">
      <c r="B13" s="222" t="s">
        <v>6</v>
      </c>
      <c r="C13" s="181">
        <v>999.3</v>
      </c>
      <c r="D13" s="227" t="s">
        <v>90</v>
      </c>
      <c r="E13" s="158"/>
      <c r="F13" s="309">
        <v>10</v>
      </c>
      <c r="G13" s="184">
        <v>0.254</v>
      </c>
      <c r="H13"/>
      <c r="I13"/>
    </row>
    <row r="14" spans="2:17" ht="20.25">
      <c r="B14" s="222" t="s">
        <v>7</v>
      </c>
      <c r="C14" s="184">
        <f>1.17*10^-3</f>
        <v>0.00117</v>
      </c>
      <c r="D14" s="314" t="s">
        <v>20</v>
      </c>
      <c r="E14" s="158"/>
      <c r="F14" s="309">
        <v>12</v>
      </c>
      <c r="G14" s="184">
        <v>0.30479999999999996</v>
      </c>
      <c r="H14"/>
      <c r="I14" s="327" t="s">
        <v>38</v>
      </c>
      <c r="J14" s="327" t="s">
        <v>26</v>
      </c>
      <c r="K14" s="327" t="s">
        <v>11</v>
      </c>
      <c r="L14" s="327" t="s">
        <v>35</v>
      </c>
      <c r="M14" s="327" t="s">
        <v>25</v>
      </c>
      <c r="N14" s="328" t="s">
        <v>59</v>
      </c>
      <c r="O14" s="329" t="s">
        <v>37</v>
      </c>
      <c r="P14" s="330" t="s">
        <v>100</v>
      </c>
      <c r="Q14" s="331"/>
    </row>
    <row r="15" spans="2:17" ht="22.5" thickBot="1">
      <c r="B15" s="222" t="s">
        <v>19</v>
      </c>
      <c r="C15" s="192">
        <f>C14/C13</f>
        <v>1.1708195737015913E-06</v>
      </c>
      <c r="D15" s="227" t="s">
        <v>91</v>
      </c>
      <c r="E15" s="158"/>
      <c r="F15" s="309">
        <v>14</v>
      </c>
      <c r="G15" s="184">
        <v>0.35559999999999997</v>
      </c>
      <c r="H15"/>
      <c r="I15" s="332" t="s">
        <v>15</v>
      </c>
      <c r="J15" s="332" t="s">
        <v>58</v>
      </c>
      <c r="K15" s="332" t="s">
        <v>16</v>
      </c>
      <c r="L15" s="333" t="s">
        <v>101</v>
      </c>
      <c r="M15" s="333" t="s">
        <v>102</v>
      </c>
      <c r="N15" s="333" t="s">
        <v>60</v>
      </c>
      <c r="O15" s="334" t="s">
        <v>15</v>
      </c>
      <c r="P15" s="332" t="s">
        <v>15</v>
      </c>
      <c r="Q15" s="333" t="s">
        <v>60</v>
      </c>
    </row>
    <row r="16" spans="2:17" ht="19.5" thickBot="1">
      <c r="B16" s="288" t="s">
        <v>34</v>
      </c>
      <c r="C16" s="289"/>
      <c r="D16" s="201"/>
      <c r="E16" s="158"/>
      <c r="F16" s="309">
        <v>18</v>
      </c>
      <c r="G16" s="184">
        <v>0.4572</v>
      </c>
      <c r="H16"/>
      <c r="I16" s="335">
        <f>$C$19-$C$20</f>
        <v>2.2</v>
      </c>
      <c r="J16" s="336">
        <v>6</v>
      </c>
      <c r="K16" s="337">
        <f>(-2*SQRT(2*$C$22*(J16*0.0254)*I16/$C$7))*LOG(($C$8/(3.7*J16*0.0254))+((2.51*$C$15*SQRT($C$7))/(J16*0.0254*SQRT(2*$C$22*J16*0.0254*I16))))</f>
        <v>1.4432884786222528</v>
      </c>
      <c r="L16" s="335">
        <f>(PI()*(J16*0.0254)^2)/4</f>
        <v>0.018241469247509915</v>
      </c>
      <c r="M16" s="338">
        <f>K16*L16</f>
        <v>0.026327702398073197</v>
      </c>
      <c r="N16" s="339" t="str">
        <f>IF(M16&gt;=$C$17,"Sí","No")</f>
        <v>No</v>
      </c>
      <c r="O16" s="335">
        <f>IF(N16="No","",$C$11*K16*K16/(2*$C$22))</f>
      </c>
      <c r="P16" s="338">
        <f>IF(N16="No","",IF(N16="No",I16,$C$19-$C$20-O16))</f>
      </c>
      <c r="Q16" s="340">
        <f aca="true" t="shared" si="0" ref="Q16:Q27">IF(I16="","",IF(N16="No","",IF(ABS(P16-I16)&lt;=$C$24,"Sí","No")))</f>
      </c>
    </row>
    <row r="17" spans="2:17" ht="22.5" thickBot="1">
      <c r="B17" s="204" t="s">
        <v>43</v>
      </c>
      <c r="C17" s="215">
        <v>0.12</v>
      </c>
      <c r="D17" s="227" t="s">
        <v>92</v>
      </c>
      <c r="E17" s="158"/>
      <c r="F17" s="309">
        <v>20</v>
      </c>
      <c r="G17" s="184">
        <v>0.508</v>
      </c>
      <c r="H17"/>
      <c r="I17" s="338">
        <f aca="true" t="shared" si="1" ref="I17:I27">IF(I16="","",IF(N16="No",I16,IF(Q16="Sí","",$C$19-O16)))</f>
        <v>2.2</v>
      </c>
      <c r="J17" s="341">
        <f aca="true" t="shared" si="2" ref="J17:J27">IF(N16="No",J16+($C$9/0.0254),IF(Q16="Sí","",J16))</f>
        <v>8</v>
      </c>
      <c r="K17" s="337">
        <f aca="true" t="shared" si="3" ref="K17:K27">IF(N16=Q16,"",(-2*SQRT(2*$C$22*(J17*0.0254)*I17/$C$7))*LOG(($C$8/(3.7*J17*0.0254))+((2.51*$C$15*SQRT($C$7))/(J17*0.0254*SQRT(2*$C$22*J17*0.0254*I17)))))</f>
        <v>1.7343526180891842</v>
      </c>
      <c r="L17" s="335">
        <f aca="true" t="shared" si="4" ref="L17:L27">IF(N16=Q16,"",(PI()*(J17*0.0254)^2)/4)</f>
        <v>0.03242927866223985</v>
      </c>
      <c r="M17" s="338">
        <f aca="true" t="shared" si="5" ref="M17:M27">IF(N16=Q16,"",K17*L17)</f>
        <v>0.056243804350599405</v>
      </c>
      <c r="N17" s="339" t="str">
        <f aca="true" t="shared" si="6" ref="N17:N27">IF(N16=Q16,"",IF(M17&gt;=$C$17,"Sí","No"))</f>
        <v>No</v>
      </c>
      <c r="O17" s="335">
        <f aca="true" t="shared" si="7" ref="O17:O27">IF(N16=Q16,"",IF(N17="No","",$C$11*K17*K17/(2*$C$22)))</f>
      </c>
      <c r="P17" s="338">
        <f aca="true" t="shared" si="8" ref="P17:P27">IF(N16=Q16,"",IF(N17="No","",IF(N17="No",I17,$C$19-$C$20-O17)))</f>
      </c>
      <c r="Q17" s="340">
        <f t="shared" si="0"/>
      </c>
    </row>
    <row r="18" spans="2:17" ht="19.5" thickBot="1">
      <c r="B18" s="288" t="s">
        <v>14</v>
      </c>
      <c r="C18" s="289"/>
      <c r="D18" s="201"/>
      <c r="E18" s="158"/>
      <c r="F18" s="309">
        <v>24</v>
      </c>
      <c r="G18" s="184">
        <v>0.6095999999999999</v>
      </c>
      <c r="H18"/>
      <c r="I18" s="338">
        <f t="shared" si="1"/>
        <v>2.2</v>
      </c>
      <c r="J18" s="341">
        <f t="shared" si="2"/>
        <v>10</v>
      </c>
      <c r="K18" s="337">
        <f t="shared" si="3"/>
        <v>1.9972536428216723</v>
      </c>
      <c r="L18" s="335">
        <f t="shared" si="4"/>
        <v>0.05067074790974978</v>
      </c>
      <c r="M18" s="338">
        <f t="shared" si="5"/>
        <v>0.10120233584724637</v>
      </c>
      <c r="N18" s="339" t="str">
        <f t="shared" si="6"/>
        <v>No</v>
      </c>
      <c r="O18" s="335">
        <f t="shared" si="7"/>
      </c>
      <c r="P18" s="338">
        <f t="shared" si="8"/>
      </c>
      <c r="Q18" s="340">
        <f t="shared" si="0"/>
      </c>
    </row>
    <row r="19" spans="2:17" ht="18.75">
      <c r="B19" s="232" t="s">
        <v>3</v>
      </c>
      <c r="C19" s="315">
        <v>2.2</v>
      </c>
      <c r="D19" s="316" t="s">
        <v>7</v>
      </c>
      <c r="E19" s="158"/>
      <c r="F19" s="309">
        <v>30</v>
      </c>
      <c r="G19" s="184">
        <v>0.762</v>
      </c>
      <c r="H19"/>
      <c r="I19" s="338">
        <f t="shared" si="1"/>
        <v>2.2</v>
      </c>
      <c r="J19" s="341">
        <f t="shared" si="2"/>
        <v>12</v>
      </c>
      <c r="K19" s="337">
        <f t="shared" si="3"/>
        <v>2.2395650929927604</v>
      </c>
      <c r="L19" s="335">
        <f t="shared" si="4"/>
        <v>0.07296587699003966</v>
      </c>
      <c r="M19" s="338">
        <f t="shared" si="5"/>
        <v>0.16341183108649648</v>
      </c>
      <c r="N19" s="339" t="str">
        <f t="shared" si="6"/>
        <v>Sí</v>
      </c>
      <c r="O19" s="335">
        <f t="shared" si="7"/>
        <v>0.8436111599888132</v>
      </c>
      <c r="P19" s="338">
        <f t="shared" si="8"/>
        <v>1.356388840011187</v>
      </c>
      <c r="Q19" s="340" t="str">
        <f t="shared" si="0"/>
        <v>No</v>
      </c>
    </row>
    <row r="20" spans="2:17" ht="19.5" thickBot="1">
      <c r="B20" s="232" t="s">
        <v>8</v>
      </c>
      <c r="C20" s="192">
        <v>0</v>
      </c>
      <c r="D20" s="227" t="s">
        <v>7</v>
      </c>
      <c r="E20" s="158"/>
      <c r="F20" s="309">
        <v>36</v>
      </c>
      <c r="G20" s="184">
        <v>0.9144</v>
      </c>
      <c r="H20"/>
      <c r="I20" s="338">
        <f t="shared" si="1"/>
        <v>1.356388840011187</v>
      </c>
      <c r="J20" s="341">
        <f t="shared" si="2"/>
        <v>12</v>
      </c>
      <c r="K20" s="337">
        <f t="shared" si="3"/>
        <v>1.7479254888692297</v>
      </c>
      <c r="L20" s="335">
        <f t="shared" si="4"/>
        <v>0.07296587699003966</v>
      </c>
      <c r="M20" s="338">
        <f t="shared" si="5"/>
        <v>0.12753891620858715</v>
      </c>
      <c r="N20" s="339" t="str">
        <f t="shared" si="6"/>
        <v>Sí</v>
      </c>
      <c r="O20" s="335">
        <f t="shared" si="7"/>
        <v>0.5138788786089616</v>
      </c>
      <c r="P20" s="338">
        <f t="shared" si="8"/>
        <v>1.6861211213910385</v>
      </c>
      <c r="Q20" s="340" t="str">
        <f t="shared" si="0"/>
        <v>No</v>
      </c>
    </row>
    <row r="21" spans="2:17" ht="19.5" thickBot="1">
      <c r="B21" s="288" t="s">
        <v>39</v>
      </c>
      <c r="C21" s="289"/>
      <c r="D21" s="201"/>
      <c r="E21" s="158"/>
      <c r="F21" s="309">
        <v>42</v>
      </c>
      <c r="G21" s="184">
        <v>1.0668</v>
      </c>
      <c r="H21"/>
      <c r="I21" s="338">
        <f t="shared" si="1"/>
        <v>1.6861211213910385</v>
      </c>
      <c r="J21" s="341">
        <f t="shared" si="2"/>
        <v>12</v>
      </c>
      <c r="K21" s="337">
        <f t="shared" si="3"/>
        <v>1.954421546643748</v>
      </c>
      <c r="L21" s="335">
        <f t="shared" si="4"/>
        <v>0.07296587699003966</v>
      </c>
      <c r="M21" s="338">
        <f t="shared" si="5"/>
        <v>0.1426060821590908</v>
      </c>
      <c r="N21" s="339" t="str">
        <f t="shared" si="6"/>
        <v>Sí</v>
      </c>
      <c r="O21" s="335">
        <f t="shared" si="7"/>
        <v>0.6424678807620603</v>
      </c>
      <c r="P21" s="338">
        <f t="shared" si="8"/>
        <v>1.5575321192379399</v>
      </c>
      <c r="Q21" s="340" t="str">
        <f t="shared" si="0"/>
        <v>No</v>
      </c>
    </row>
    <row r="22" spans="2:17" ht="22.5" thickBot="1">
      <c r="B22" s="232" t="s">
        <v>18</v>
      </c>
      <c r="C22" s="215">
        <v>9.81</v>
      </c>
      <c r="D22" s="227" t="s">
        <v>93</v>
      </c>
      <c r="E22" s="158"/>
      <c r="F22" s="309">
        <v>48</v>
      </c>
      <c r="G22" s="184">
        <v>1.2191999999999998</v>
      </c>
      <c r="H22"/>
      <c r="I22" s="338">
        <f t="shared" si="1"/>
        <v>1.5575321192379399</v>
      </c>
      <c r="J22" s="341">
        <f t="shared" si="2"/>
        <v>12</v>
      </c>
      <c r="K22" s="337">
        <f t="shared" si="3"/>
        <v>1.876513425823211</v>
      </c>
      <c r="L22" s="335">
        <f t="shared" si="4"/>
        <v>0.07296587699003966</v>
      </c>
      <c r="M22" s="338">
        <f t="shared" si="5"/>
        <v>0.13692144779877433</v>
      </c>
      <c r="N22" s="339" t="str">
        <f t="shared" si="6"/>
        <v>Sí</v>
      </c>
      <c r="O22" s="335">
        <f t="shared" si="7"/>
        <v>0.5922680276795473</v>
      </c>
      <c r="P22" s="338">
        <f t="shared" si="8"/>
        <v>1.6077319723204528</v>
      </c>
      <c r="Q22" s="340" t="str">
        <f t="shared" si="0"/>
        <v>No</v>
      </c>
    </row>
    <row r="23" spans="2:17" ht="19.5" thickBot="1">
      <c r="B23" s="288" t="s">
        <v>17</v>
      </c>
      <c r="C23" s="289"/>
      <c r="D23" s="201"/>
      <c r="E23" s="158"/>
      <c r="F23" s="309">
        <v>60</v>
      </c>
      <c r="G23" s="184">
        <v>1.524</v>
      </c>
      <c r="H23"/>
      <c r="I23" s="338">
        <f t="shared" si="1"/>
        <v>1.6077319723204528</v>
      </c>
      <c r="J23" s="341">
        <f t="shared" si="2"/>
        <v>12</v>
      </c>
      <c r="K23" s="337">
        <f t="shared" si="3"/>
        <v>1.907295149622082</v>
      </c>
      <c r="L23" s="335">
        <f t="shared" si="4"/>
        <v>0.07296587699003966</v>
      </c>
      <c r="M23" s="338">
        <f t="shared" si="5"/>
        <v>0.13916746327102414</v>
      </c>
      <c r="N23" s="339" t="str">
        <f t="shared" si="6"/>
        <v>Sí</v>
      </c>
      <c r="O23" s="335">
        <f t="shared" si="7"/>
        <v>0.6118581447322801</v>
      </c>
      <c r="P23" s="338">
        <f t="shared" si="8"/>
        <v>1.58814185526772</v>
      </c>
      <c r="Q23" s="340" t="str">
        <f t="shared" si="0"/>
        <v>No</v>
      </c>
    </row>
    <row r="24" spans="2:17" ht="19.5" thickBot="1">
      <c r="B24" s="206" t="s">
        <v>9</v>
      </c>
      <c r="C24" s="215">
        <v>0.001</v>
      </c>
      <c r="D24" s="207"/>
      <c r="E24" s="158"/>
      <c r="F24" s="310">
        <v>72</v>
      </c>
      <c r="G24" s="192">
        <v>1.8288</v>
      </c>
      <c r="H24"/>
      <c r="I24" s="338">
        <f t="shared" si="1"/>
        <v>1.58814185526772</v>
      </c>
      <c r="J24" s="341">
        <f t="shared" si="2"/>
        <v>12</v>
      </c>
      <c r="K24" s="337">
        <f t="shared" si="3"/>
        <v>1.8953404703493941</v>
      </c>
      <c r="L24" s="335">
        <f t="shared" si="4"/>
        <v>0.07296587699003966</v>
      </c>
      <c r="M24" s="338">
        <f t="shared" si="5"/>
        <v>0.1382951796137578</v>
      </c>
      <c r="N24" s="339" t="str">
        <f t="shared" si="6"/>
        <v>Sí</v>
      </c>
      <c r="O24" s="335">
        <f t="shared" si="7"/>
        <v>0.6042120869111144</v>
      </c>
      <c r="P24" s="338">
        <f t="shared" si="8"/>
        <v>1.595787913088886</v>
      </c>
      <c r="Q24" s="340" t="str">
        <f t="shared" si="0"/>
        <v>No</v>
      </c>
    </row>
    <row r="25" spans="2:17" ht="18.75">
      <c r="B25" s="37"/>
      <c r="C25" s="2"/>
      <c r="D25" s="37"/>
      <c r="E25" s="1"/>
      <c r="F25" s="50"/>
      <c r="G25" s="2"/>
      <c r="H25"/>
      <c r="I25" s="338">
        <f t="shared" si="1"/>
        <v>1.595787913088886</v>
      </c>
      <c r="J25" s="341">
        <f t="shared" si="2"/>
        <v>12</v>
      </c>
      <c r="K25" s="337">
        <f t="shared" si="3"/>
        <v>1.900015079267655</v>
      </c>
      <c r="L25" s="335">
        <f t="shared" si="4"/>
        <v>0.07296587699003966</v>
      </c>
      <c r="M25" s="338">
        <f t="shared" si="5"/>
        <v>0.13863626655306416</v>
      </c>
      <c r="N25" s="339" t="str">
        <f t="shared" si="6"/>
        <v>Sí</v>
      </c>
      <c r="O25" s="335">
        <f t="shared" si="7"/>
        <v>0.6071961822001406</v>
      </c>
      <c r="P25" s="338">
        <f t="shared" si="8"/>
        <v>1.5928038177998596</v>
      </c>
      <c r="Q25" s="340" t="str">
        <f t="shared" si="0"/>
        <v>No</v>
      </c>
    </row>
    <row r="26" spans="2:17" ht="18.75">
      <c r="B26" s="37"/>
      <c r="C26" s="2"/>
      <c r="D26" s="37"/>
      <c r="E26" s="1"/>
      <c r="F26" s="50"/>
      <c r="G26" s="2"/>
      <c r="H26"/>
      <c r="I26" s="338">
        <f t="shared" si="1"/>
        <v>1.5928038177998596</v>
      </c>
      <c r="J26" s="341">
        <f t="shared" si="2"/>
        <v>12</v>
      </c>
      <c r="K26" s="337">
        <f t="shared" si="3"/>
        <v>1.8981920057024149</v>
      </c>
      <c r="L26" s="335">
        <f t="shared" si="4"/>
        <v>0.07296587699003966</v>
      </c>
      <c r="M26" s="338">
        <f t="shared" si="5"/>
        <v>0.13850324439155906</v>
      </c>
      <c r="N26" s="339" t="str">
        <f t="shared" si="6"/>
        <v>Sí</v>
      </c>
      <c r="O26" s="335">
        <f t="shared" si="7"/>
        <v>0.6060315259271883</v>
      </c>
      <c r="P26" s="338">
        <f t="shared" si="8"/>
        <v>1.593968474072812</v>
      </c>
      <c r="Q26" s="340" t="str">
        <f t="shared" si="0"/>
        <v>No</v>
      </c>
    </row>
    <row r="27" spans="9:17" ht="18.75" customHeight="1">
      <c r="I27" s="338">
        <f t="shared" si="1"/>
        <v>1.593968474072812</v>
      </c>
      <c r="J27" s="341">
        <f t="shared" si="2"/>
        <v>12</v>
      </c>
      <c r="K27" s="337">
        <f t="shared" si="3"/>
        <v>1.898903731132606</v>
      </c>
      <c r="L27" s="335">
        <f t="shared" si="4"/>
        <v>0.07296587699003966</v>
      </c>
      <c r="M27" s="338">
        <f t="shared" si="5"/>
        <v>0.13855517606174908</v>
      </c>
      <c r="N27" s="339" t="str">
        <f t="shared" si="6"/>
        <v>Sí</v>
      </c>
      <c r="O27" s="335">
        <f t="shared" si="7"/>
        <v>0.6064860731070743</v>
      </c>
      <c r="P27" s="338">
        <f t="shared" si="8"/>
        <v>1.593513926892926</v>
      </c>
      <c r="Q27" s="340" t="str">
        <f t="shared" si="0"/>
        <v>Sí</v>
      </c>
    </row>
    <row r="30" spans="1:11" ht="12.75">
      <c r="A30" s="12"/>
      <c r="K30" s="51"/>
    </row>
    <row r="31" spans="1:11" ht="12.75">
      <c r="A31" s="66">
        <f aca="true" t="shared" si="9" ref="A31:A42">IF(Q16="Sí",IF(Q16=N16,1,0),"")</f>
      </c>
      <c r="K31" s="69"/>
    </row>
    <row r="32" spans="1:11" ht="12.75">
      <c r="A32" s="66">
        <f t="shared" si="9"/>
      </c>
      <c r="K32" s="69"/>
    </row>
    <row r="33" spans="1:11" ht="12.75">
      <c r="A33" s="66">
        <f t="shared" si="9"/>
      </c>
      <c r="K33" s="69"/>
    </row>
    <row r="34" spans="1:11" ht="12.75">
      <c r="A34" s="66">
        <f t="shared" si="9"/>
      </c>
      <c r="K34" s="69"/>
    </row>
    <row r="35" spans="1:11" ht="12.75">
      <c r="A35" s="66">
        <f t="shared" si="9"/>
      </c>
      <c r="K35" s="69"/>
    </row>
    <row r="36" spans="1:11" ht="12.75">
      <c r="A36" s="66">
        <f t="shared" si="9"/>
      </c>
      <c r="K36" s="69"/>
    </row>
    <row r="37" spans="1:11" ht="12.75">
      <c r="A37" s="66">
        <f t="shared" si="9"/>
      </c>
      <c r="K37" s="69"/>
    </row>
    <row r="38" spans="1:11" ht="12.75">
      <c r="A38" s="66">
        <f t="shared" si="9"/>
      </c>
      <c r="K38" s="69"/>
    </row>
    <row r="39" spans="1:11" ht="12.75">
      <c r="A39" s="66">
        <f t="shared" si="9"/>
      </c>
      <c r="K39" s="69"/>
    </row>
    <row r="40" spans="1:11" ht="12.75">
      <c r="A40" s="66">
        <f t="shared" si="9"/>
      </c>
      <c r="K40" s="69"/>
    </row>
    <row r="41" spans="1:11" ht="12.75">
      <c r="A41" s="66">
        <f t="shared" si="9"/>
      </c>
      <c r="K41" s="69"/>
    </row>
    <row r="42" spans="1:11" ht="12.75">
      <c r="A42" s="66">
        <f t="shared" si="9"/>
        <v>1</v>
      </c>
      <c r="K42" s="69"/>
    </row>
    <row r="43" spans="1:11" ht="15.75">
      <c r="A43" s="66">
        <f aca="true" t="shared" si="10" ref="A43:A95">IF(J43="Sí",IF(J43=G43,1,0),"")</f>
      </c>
      <c r="B43" s="56">
        <f>IF(I27="","",IF(N27="No",I27,IF(Q27="Sí","",$C$19-O27)))</f>
      </c>
      <c r="C43" s="59">
        <f>IF(N27="No",J27+($C$9/0.0254),IF(Q27="Sí","",J27))</f>
      </c>
      <c r="D43" s="54">
        <f>IF(N27=Q27,"",(-2*SQRT(2*$C$22*(C43*0.0254)*B43/$C$7))*LOG(($C$8/(3.7*C43*0.0254))+((2.51*$C$15*SQRT($C$7))/(C43*0.0254*SQRT(2*$C$22*C43*0.0254*B43)))))</f>
      </c>
      <c r="E43" s="55">
        <f>IF(N27=Q27,"",(PI()*(C43*0.0254)^2)/4)</f>
      </c>
      <c r="F43" s="56">
        <f>IF(N27=Q27,"",D43*E43)</f>
      </c>
      <c r="G43" s="57">
        <f>IF(N27=Q27,"",IF(F43&gt;=$C$17,"Sí","No"))</f>
      </c>
      <c r="H43" s="55">
        <f>IF(N27=Q27,"",IF(G43="No","",$C$11*D43*D43/(2*$C$22)))</f>
      </c>
      <c r="I43" s="56">
        <f>IF(N27=Q27,"",IF(G43="No","",IF(G43="No",B43,$C$19-$C$20-H43)))</f>
      </c>
      <c r="J43" s="58">
        <f aca="true" t="shared" si="11" ref="J43:J62">IF(B43="","",IF(G43="No","",IF(ABS(I43-B43)&lt;=$C$24,"Sí","No")))</f>
      </c>
      <c r="K43" s="69"/>
    </row>
    <row r="44" spans="1:11" ht="15.75">
      <c r="A44" s="66">
        <f t="shared" si="10"/>
      </c>
      <c r="B44" s="56">
        <f aca="true" t="shared" si="12" ref="B44:B63">IF(B43="","",IF(G43="No",B43,IF(J43="Sí","",$C$19-H43)))</f>
      </c>
      <c r="C44" s="59">
        <f aca="true" t="shared" si="13" ref="C44:C63">IF(G43="No",C43+($C$9/0.0254),IF(J43="Sí","",C43))</f>
      </c>
      <c r="D44" s="54">
        <f aca="true" t="shared" si="14" ref="D44:D63">IF(G43=J43,"",(-2*SQRT(2*$C$22*(C44*0.0254)*B44/$C$7))*LOG(($C$8/(3.7*C44*0.0254))+((2.51*$C$15*SQRT($C$7))/(C44*0.0254*SQRT(2*$C$22*C44*0.0254*B44)))))</f>
      </c>
      <c r="E44" s="55">
        <f aca="true" t="shared" si="15" ref="E44:E63">IF(G43=J43,"",(PI()*(C44*0.0254)^2)/4)</f>
      </c>
      <c r="F44" s="56">
        <f aca="true" t="shared" si="16" ref="F44:F63">IF(G43=J43,"",D44*E44)</f>
      </c>
      <c r="G44" s="57">
        <f aca="true" t="shared" si="17" ref="G44:G63">IF(G43=J43,"",IF(F44&gt;=$C$17,"Sí","No"))</f>
      </c>
      <c r="H44" s="55">
        <f aca="true" t="shared" si="18" ref="H44:H63">IF(G43=J43,"",IF(G44="No","",$C$11*D44*D44/(2*$C$22)))</f>
      </c>
      <c r="I44" s="56">
        <f aca="true" t="shared" si="19" ref="I44:I63">IF(G43=J43,"",IF(G44="No","",IF(G44="No",B44,$C$19-$C$20-H44)))</f>
      </c>
      <c r="J44" s="58">
        <f t="shared" si="11"/>
      </c>
      <c r="K44" s="69"/>
    </row>
    <row r="45" spans="1:11" ht="15.75">
      <c r="A45" s="66">
        <f t="shared" si="10"/>
      </c>
      <c r="B45" s="56">
        <f t="shared" si="12"/>
      </c>
      <c r="C45" s="59">
        <f t="shared" si="13"/>
      </c>
      <c r="D45" s="54">
        <f t="shared" si="14"/>
      </c>
      <c r="E45" s="55">
        <f t="shared" si="15"/>
      </c>
      <c r="F45" s="56">
        <f t="shared" si="16"/>
      </c>
      <c r="G45" s="57">
        <f t="shared" si="17"/>
      </c>
      <c r="H45" s="55">
        <f t="shared" si="18"/>
      </c>
      <c r="I45" s="56">
        <f t="shared" si="19"/>
      </c>
      <c r="J45" s="58">
        <f t="shared" si="11"/>
      </c>
      <c r="K45" s="69"/>
    </row>
    <row r="46" spans="1:11" ht="15.75">
      <c r="A46" s="66">
        <f t="shared" si="10"/>
      </c>
      <c r="B46" s="56">
        <f t="shared" si="12"/>
      </c>
      <c r="C46" s="59">
        <f t="shared" si="13"/>
      </c>
      <c r="D46" s="54">
        <f t="shared" si="14"/>
      </c>
      <c r="E46" s="55">
        <f t="shared" si="15"/>
      </c>
      <c r="F46" s="56">
        <f t="shared" si="16"/>
      </c>
      <c r="G46" s="57">
        <f t="shared" si="17"/>
      </c>
      <c r="H46" s="55">
        <f t="shared" si="18"/>
      </c>
      <c r="I46" s="56">
        <f t="shared" si="19"/>
      </c>
      <c r="J46" s="58">
        <f t="shared" si="11"/>
      </c>
      <c r="K46" s="69"/>
    </row>
    <row r="47" spans="1:11" ht="15.75">
      <c r="A47" s="66">
        <f t="shared" si="10"/>
      </c>
      <c r="B47" s="56">
        <f t="shared" si="12"/>
      </c>
      <c r="C47" s="59">
        <f t="shared" si="13"/>
      </c>
      <c r="D47" s="54">
        <f t="shared" si="14"/>
      </c>
      <c r="E47" s="55">
        <f t="shared" si="15"/>
      </c>
      <c r="F47" s="56">
        <f t="shared" si="16"/>
      </c>
      <c r="G47" s="57">
        <f t="shared" si="17"/>
      </c>
      <c r="H47" s="55">
        <f t="shared" si="18"/>
      </c>
      <c r="I47" s="56">
        <f t="shared" si="19"/>
      </c>
      <c r="J47" s="58">
        <f t="shared" si="11"/>
      </c>
      <c r="K47" s="69"/>
    </row>
    <row r="48" spans="1:11" ht="15.75">
      <c r="A48" s="66">
        <f t="shared" si="10"/>
      </c>
      <c r="B48" s="56">
        <f t="shared" si="12"/>
      </c>
      <c r="C48" s="59">
        <f t="shared" si="13"/>
      </c>
      <c r="D48" s="54">
        <f t="shared" si="14"/>
      </c>
      <c r="E48" s="55">
        <f t="shared" si="15"/>
      </c>
      <c r="F48" s="56">
        <f t="shared" si="16"/>
      </c>
      <c r="G48" s="57">
        <f t="shared" si="17"/>
      </c>
      <c r="H48" s="55">
        <f t="shared" si="18"/>
      </c>
      <c r="I48" s="56">
        <f t="shared" si="19"/>
      </c>
      <c r="J48" s="58">
        <f t="shared" si="11"/>
      </c>
      <c r="K48" s="69"/>
    </row>
    <row r="49" spans="1:11" ht="15.75">
      <c r="A49" s="66">
        <f t="shared" si="10"/>
      </c>
      <c r="B49" s="56">
        <f t="shared" si="12"/>
      </c>
      <c r="C49" s="59">
        <f t="shared" si="13"/>
      </c>
      <c r="D49" s="54">
        <f t="shared" si="14"/>
      </c>
      <c r="E49" s="55">
        <f t="shared" si="15"/>
      </c>
      <c r="F49" s="56">
        <f t="shared" si="16"/>
      </c>
      <c r="G49" s="57">
        <f t="shared" si="17"/>
      </c>
      <c r="H49" s="55">
        <f t="shared" si="18"/>
      </c>
      <c r="I49" s="56">
        <f t="shared" si="19"/>
      </c>
      <c r="J49" s="58">
        <f t="shared" si="11"/>
      </c>
      <c r="K49" s="69"/>
    </row>
    <row r="50" spans="1:11" ht="15.75">
      <c r="A50" s="66">
        <f t="shared" si="10"/>
      </c>
      <c r="B50" s="56">
        <f t="shared" si="12"/>
      </c>
      <c r="C50" s="59">
        <f t="shared" si="13"/>
      </c>
      <c r="D50" s="54">
        <f t="shared" si="14"/>
      </c>
      <c r="E50" s="55">
        <f t="shared" si="15"/>
      </c>
      <c r="F50" s="56">
        <f t="shared" si="16"/>
      </c>
      <c r="G50" s="57">
        <f t="shared" si="17"/>
      </c>
      <c r="H50" s="55">
        <f t="shared" si="18"/>
      </c>
      <c r="I50" s="56">
        <f t="shared" si="19"/>
      </c>
      <c r="J50" s="58">
        <f t="shared" si="11"/>
      </c>
      <c r="K50" s="69"/>
    </row>
    <row r="51" spans="1:11" ht="15.75">
      <c r="A51" s="66">
        <f t="shared" si="10"/>
      </c>
      <c r="B51" s="56">
        <f t="shared" si="12"/>
      </c>
      <c r="C51" s="59">
        <f t="shared" si="13"/>
      </c>
      <c r="D51" s="54">
        <f t="shared" si="14"/>
      </c>
      <c r="E51" s="55">
        <f t="shared" si="15"/>
      </c>
      <c r="F51" s="56">
        <f t="shared" si="16"/>
      </c>
      <c r="G51" s="57">
        <f t="shared" si="17"/>
      </c>
      <c r="H51" s="55">
        <f t="shared" si="18"/>
      </c>
      <c r="I51" s="56">
        <f t="shared" si="19"/>
      </c>
      <c r="J51" s="58">
        <f t="shared" si="11"/>
      </c>
      <c r="K51" s="69"/>
    </row>
    <row r="52" spans="1:11" ht="15.75">
      <c r="A52" s="66">
        <f t="shared" si="10"/>
      </c>
      <c r="B52" s="56">
        <f t="shared" si="12"/>
      </c>
      <c r="C52" s="59">
        <f t="shared" si="13"/>
      </c>
      <c r="D52" s="54">
        <f t="shared" si="14"/>
      </c>
      <c r="E52" s="55">
        <f t="shared" si="15"/>
      </c>
      <c r="F52" s="56">
        <f t="shared" si="16"/>
      </c>
      <c r="G52" s="57">
        <f t="shared" si="17"/>
      </c>
      <c r="H52" s="55">
        <f t="shared" si="18"/>
      </c>
      <c r="I52" s="56">
        <f t="shared" si="19"/>
      </c>
      <c r="J52" s="58">
        <f t="shared" si="11"/>
      </c>
      <c r="K52" s="69"/>
    </row>
    <row r="53" spans="1:11" ht="15.75">
      <c r="A53" s="66">
        <f t="shared" si="10"/>
      </c>
      <c r="B53" s="56">
        <f t="shared" si="12"/>
      </c>
      <c r="C53" s="59">
        <f t="shared" si="13"/>
      </c>
      <c r="D53" s="54">
        <f t="shared" si="14"/>
      </c>
      <c r="E53" s="55">
        <f t="shared" si="15"/>
      </c>
      <c r="F53" s="56">
        <f t="shared" si="16"/>
      </c>
      <c r="G53" s="57">
        <f t="shared" si="17"/>
      </c>
      <c r="H53" s="55">
        <f t="shared" si="18"/>
      </c>
      <c r="I53" s="56">
        <f t="shared" si="19"/>
      </c>
      <c r="J53" s="58">
        <f t="shared" si="11"/>
      </c>
      <c r="K53" s="69"/>
    </row>
    <row r="54" spans="1:11" ht="15.75">
      <c r="A54" s="66">
        <f t="shared" si="10"/>
      </c>
      <c r="B54" s="56">
        <f t="shared" si="12"/>
      </c>
      <c r="C54" s="59">
        <f t="shared" si="13"/>
      </c>
      <c r="D54" s="54">
        <f t="shared" si="14"/>
      </c>
      <c r="E54" s="55">
        <f t="shared" si="15"/>
      </c>
      <c r="F54" s="56">
        <f t="shared" si="16"/>
      </c>
      <c r="G54" s="57">
        <f t="shared" si="17"/>
      </c>
      <c r="H54" s="55">
        <f t="shared" si="18"/>
      </c>
      <c r="I54" s="56">
        <f t="shared" si="19"/>
      </c>
      <c r="J54" s="58">
        <f t="shared" si="11"/>
      </c>
      <c r="K54" s="69"/>
    </row>
    <row r="55" spans="1:11" ht="15.75">
      <c r="A55" s="66">
        <f t="shared" si="10"/>
      </c>
      <c r="B55" s="56">
        <f t="shared" si="12"/>
      </c>
      <c r="C55" s="59">
        <f t="shared" si="13"/>
      </c>
      <c r="D55" s="54">
        <f t="shared" si="14"/>
      </c>
      <c r="E55" s="55">
        <f t="shared" si="15"/>
      </c>
      <c r="F55" s="56">
        <f t="shared" si="16"/>
      </c>
      <c r="G55" s="57">
        <f t="shared" si="17"/>
      </c>
      <c r="H55" s="55">
        <f t="shared" si="18"/>
      </c>
      <c r="I55" s="56">
        <f t="shared" si="19"/>
      </c>
      <c r="J55" s="58">
        <f t="shared" si="11"/>
      </c>
      <c r="K55" s="69"/>
    </row>
    <row r="56" spans="1:11" ht="15.75">
      <c r="A56" s="66">
        <f t="shared" si="10"/>
      </c>
      <c r="B56" s="56">
        <f t="shared" si="12"/>
      </c>
      <c r="C56" s="59">
        <f t="shared" si="13"/>
      </c>
      <c r="D56" s="54">
        <f t="shared" si="14"/>
      </c>
      <c r="E56" s="55">
        <f t="shared" si="15"/>
      </c>
      <c r="F56" s="56">
        <f t="shared" si="16"/>
      </c>
      <c r="G56" s="57">
        <f t="shared" si="17"/>
      </c>
      <c r="H56" s="55">
        <f t="shared" si="18"/>
      </c>
      <c r="I56" s="56">
        <f t="shared" si="19"/>
      </c>
      <c r="J56" s="58">
        <f t="shared" si="11"/>
      </c>
      <c r="K56" s="69"/>
    </row>
    <row r="57" spans="1:11" ht="15.75">
      <c r="A57" s="66">
        <f t="shared" si="10"/>
      </c>
      <c r="B57" s="56">
        <f t="shared" si="12"/>
      </c>
      <c r="C57" s="59">
        <f t="shared" si="13"/>
      </c>
      <c r="D57" s="54">
        <f t="shared" si="14"/>
      </c>
      <c r="E57" s="55">
        <f t="shared" si="15"/>
      </c>
      <c r="F57" s="56">
        <f t="shared" si="16"/>
      </c>
      <c r="G57" s="57">
        <f t="shared" si="17"/>
      </c>
      <c r="H57" s="55">
        <f t="shared" si="18"/>
      </c>
      <c r="I57" s="56">
        <f t="shared" si="19"/>
      </c>
      <c r="J57" s="58">
        <f t="shared" si="11"/>
      </c>
      <c r="K57" s="69"/>
    </row>
    <row r="58" spans="1:11" ht="15.75">
      <c r="A58" s="66">
        <f t="shared" si="10"/>
      </c>
      <c r="B58" s="56">
        <f t="shared" si="12"/>
      </c>
      <c r="C58" s="59">
        <f t="shared" si="13"/>
      </c>
      <c r="D58" s="54">
        <f t="shared" si="14"/>
      </c>
      <c r="E58" s="55">
        <f t="shared" si="15"/>
      </c>
      <c r="F58" s="56">
        <f t="shared" si="16"/>
      </c>
      <c r="G58" s="57">
        <f t="shared" si="17"/>
      </c>
      <c r="H58" s="55">
        <f t="shared" si="18"/>
      </c>
      <c r="I58" s="56">
        <f t="shared" si="19"/>
      </c>
      <c r="J58" s="58">
        <f t="shared" si="11"/>
      </c>
      <c r="K58" s="69"/>
    </row>
    <row r="59" spans="1:11" ht="15.75">
      <c r="A59" s="66">
        <f t="shared" si="10"/>
      </c>
      <c r="B59" s="56">
        <f t="shared" si="12"/>
      </c>
      <c r="C59" s="59">
        <f t="shared" si="13"/>
      </c>
      <c r="D59" s="54">
        <f t="shared" si="14"/>
      </c>
      <c r="E59" s="55">
        <f t="shared" si="15"/>
      </c>
      <c r="F59" s="56">
        <f t="shared" si="16"/>
      </c>
      <c r="G59" s="57">
        <f t="shared" si="17"/>
      </c>
      <c r="H59" s="55">
        <f t="shared" si="18"/>
      </c>
      <c r="I59" s="56">
        <f t="shared" si="19"/>
      </c>
      <c r="J59" s="58">
        <f t="shared" si="11"/>
      </c>
      <c r="K59" s="69"/>
    </row>
    <row r="60" spans="1:11" ht="15.75">
      <c r="A60" s="66">
        <f t="shared" si="10"/>
      </c>
      <c r="B60" s="56">
        <f t="shared" si="12"/>
      </c>
      <c r="C60" s="59">
        <f t="shared" si="13"/>
      </c>
      <c r="D60" s="54">
        <f t="shared" si="14"/>
      </c>
      <c r="E60" s="55">
        <f t="shared" si="15"/>
      </c>
      <c r="F60" s="56">
        <f t="shared" si="16"/>
      </c>
      <c r="G60" s="57">
        <f t="shared" si="17"/>
      </c>
      <c r="H60" s="55">
        <f t="shared" si="18"/>
      </c>
      <c r="I60" s="56">
        <f t="shared" si="19"/>
      </c>
      <c r="J60" s="58">
        <f t="shared" si="11"/>
      </c>
      <c r="K60" s="69"/>
    </row>
    <row r="61" spans="1:11" ht="15.75">
      <c r="A61" s="66">
        <f t="shared" si="10"/>
      </c>
      <c r="B61" s="56">
        <f t="shared" si="12"/>
      </c>
      <c r="C61" s="59">
        <f t="shared" si="13"/>
      </c>
      <c r="D61" s="54">
        <f t="shared" si="14"/>
      </c>
      <c r="E61" s="55">
        <f t="shared" si="15"/>
      </c>
      <c r="F61" s="56">
        <f t="shared" si="16"/>
      </c>
      <c r="G61" s="57">
        <f t="shared" si="17"/>
      </c>
      <c r="H61" s="55">
        <f t="shared" si="18"/>
      </c>
      <c r="I61" s="56">
        <f t="shared" si="19"/>
      </c>
      <c r="J61" s="58">
        <f t="shared" si="11"/>
      </c>
      <c r="K61" s="69"/>
    </row>
    <row r="62" spans="1:11" ht="15.75">
      <c r="A62" s="66">
        <f t="shared" si="10"/>
      </c>
      <c r="B62" s="56">
        <f t="shared" si="12"/>
      </c>
      <c r="C62" s="59">
        <f t="shared" si="13"/>
      </c>
      <c r="D62" s="54">
        <f t="shared" si="14"/>
      </c>
      <c r="E62" s="55">
        <f t="shared" si="15"/>
      </c>
      <c r="F62" s="56">
        <f t="shared" si="16"/>
      </c>
      <c r="G62" s="57">
        <f t="shared" si="17"/>
      </c>
      <c r="H62" s="55">
        <f t="shared" si="18"/>
      </c>
      <c r="I62" s="56">
        <f t="shared" si="19"/>
      </c>
      <c r="J62" s="58">
        <f t="shared" si="11"/>
      </c>
      <c r="K62" s="69"/>
    </row>
    <row r="63" spans="1:11" ht="15.75">
      <c r="A63" s="66">
        <f t="shared" si="10"/>
      </c>
      <c r="B63" s="56">
        <f t="shared" si="12"/>
      </c>
      <c r="C63" s="59">
        <f t="shared" si="13"/>
      </c>
      <c r="D63" s="54">
        <f t="shared" si="14"/>
      </c>
      <c r="E63" s="55">
        <f t="shared" si="15"/>
      </c>
      <c r="F63" s="56">
        <f t="shared" si="16"/>
      </c>
      <c r="G63" s="57">
        <f t="shared" si="17"/>
      </c>
      <c r="H63" s="55">
        <f t="shared" si="18"/>
      </c>
      <c r="I63" s="56">
        <f t="shared" si="19"/>
      </c>
      <c r="J63" s="58">
        <f aca="true" t="shared" si="20" ref="J63:J94">IF(B63="","",IF(G63="No","",IF(ABS(I63-B63)&lt;=$C$24,"Sí","No")))</f>
      </c>
      <c r="K63" s="69"/>
    </row>
    <row r="64" spans="1:11" ht="15.75">
      <c r="A64" s="66">
        <f t="shared" si="10"/>
      </c>
      <c r="B64" s="56">
        <f aca="true" t="shared" si="21" ref="B64:B95">IF(B63="","",IF(G63="No",B63,IF(J63="Sí","",$C$19-H63)))</f>
      </c>
      <c r="C64" s="59">
        <f aca="true" t="shared" si="22" ref="C64:C95">IF(G63="No",C63+($C$9/0.0254),IF(J63="Sí","",C63))</f>
      </c>
      <c r="D64" s="54">
        <f aca="true" t="shared" si="23" ref="D64:D95">IF(G63=J63,"",(-2*SQRT(2*$C$22*(C64*0.0254)*B64/$C$7))*LOG(($C$8/(3.7*C64*0.0254))+((2.51*$C$15*SQRT($C$7))/(C64*0.0254*SQRT(2*$C$22*C64*0.0254*B64)))))</f>
      </c>
      <c r="E64" s="55">
        <f aca="true" t="shared" si="24" ref="E64:E95">IF(G63=J63,"",(PI()*(C64*0.0254)^2)/4)</f>
      </c>
      <c r="F64" s="56">
        <f aca="true" t="shared" si="25" ref="F64:F95">IF(G63=J63,"",D64*E64)</f>
      </c>
      <c r="G64" s="57">
        <f aca="true" t="shared" si="26" ref="G64:G95">IF(G63=J63,"",IF(F64&gt;=$C$17,"Sí","No"))</f>
      </c>
      <c r="H64" s="55">
        <f aca="true" t="shared" si="27" ref="H64:H95">IF(G63=J63,"",IF(G64="No","",$C$11*D64*D64/(2*$C$22)))</f>
      </c>
      <c r="I64" s="56">
        <f aca="true" t="shared" si="28" ref="I64:I95">IF(G63=J63,"",IF(G64="No","",IF(G64="No",B64,$C$19-$C$20-H64)))</f>
      </c>
      <c r="J64" s="58">
        <f t="shared" si="20"/>
      </c>
      <c r="K64" s="69"/>
    </row>
    <row r="65" spans="1:11" ht="15.75">
      <c r="A65" s="66">
        <f t="shared" si="10"/>
      </c>
      <c r="B65" s="56">
        <f t="shared" si="21"/>
      </c>
      <c r="C65" s="59">
        <f t="shared" si="22"/>
      </c>
      <c r="D65" s="54">
        <f t="shared" si="23"/>
      </c>
      <c r="E65" s="55">
        <f t="shared" si="24"/>
      </c>
      <c r="F65" s="56">
        <f t="shared" si="25"/>
      </c>
      <c r="G65" s="57">
        <f t="shared" si="26"/>
      </c>
      <c r="H65" s="55">
        <f t="shared" si="27"/>
      </c>
      <c r="I65" s="56">
        <f t="shared" si="28"/>
      </c>
      <c r="J65" s="58">
        <f t="shared" si="20"/>
      </c>
      <c r="K65" s="69"/>
    </row>
    <row r="66" spans="1:11" ht="15.75">
      <c r="A66" s="66">
        <f t="shared" si="10"/>
      </c>
      <c r="B66" s="56">
        <f t="shared" si="21"/>
      </c>
      <c r="C66" s="59">
        <f t="shared" si="22"/>
      </c>
      <c r="D66" s="54">
        <f t="shared" si="23"/>
      </c>
      <c r="E66" s="55">
        <f t="shared" si="24"/>
      </c>
      <c r="F66" s="56">
        <f t="shared" si="25"/>
      </c>
      <c r="G66" s="57">
        <f t="shared" si="26"/>
      </c>
      <c r="H66" s="55">
        <f t="shared" si="27"/>
      </c>
      <c r="I66" s="56">
        <f t="shared" si="28"/>
      </c>
      <c r="J66" s="58">
        <f t="shared" si="20"/>
      </c>
      <c r="K66" s="69"/>
    </row>
    <row r="67" spans="1:11" ht="15.75">
      <c r="A67" s="66">
        <f t="shared" si="10"/>
      </c>
      <c r="B67" s="56">
        <f t="shared" si="21"/>
      </c>
      <c r="C67" s="59">
        <f t="shared" si="22"/>
      </c>
      <c r="D67" s="54">
        <f t="shared" si="23"/>
      </c>
      <c r="E67" s="55">
        <f t="shared" si="24"/>
      </c>
      <c r="F67" s="56">
        <f t="shared" si="25"/>
      </c>
      <c r="G67" s="57">
        <f t="shared" si="26"/>
      </c>
      <c r="H67" s="55">
        <f t="shared" si="27"/>
      </c>
      <c r="I67" s="56">
        <f t="shared" si="28"/>
      </c>
      <c r="J67" s="58">
        <f t="shared" si="20"/>
      </c>
      <c r="K67" s="69"/>
    </row>
    <row r="68" spans="1:11" ht="15.75">
      <c r="A68" s="66">
        <f t="shared" si="10"/>
      </c>
      <c r="B68" s="56">
        <f t="shared" si="21"/>
      </c>
      <c r="C68" s="59">
        <f t="shared" si="22"/>
      </c>
      <c r="D68" s="54">
        <f t="shared" si="23"/>
      </c>
      <c r="E68" s="55">
        <f t="shared" si="24"/>
      </c>
      <c r="F68" s="56">
        <f t="shared" si="25"/>
      </c>
      <c r="G68" s="57">
        <f t="shared" si="26"/>
      </c>
      <c r="H68" s="55">
        <f t="shared" si="27"/>
      </c>
      <c r="I68" s="56">
        <f t="shared" si="28"/>
      </c>
      <c r="J68" s="58">
        <f t="shared" si="20"/>
      </c>
      <c r="K68" s="69"/>
    </row>
    <row r="69" spans="1:11" ht="15.75">
      <c r="A69" s="66">
        <f t="shared" si="10"/>
      </c>
      <c r="B69" s="56">
        <f t="shared" si="21"/>
      </c>
      <c r="C69" s="59">
        <f t="shared" si="22"/>
      </c>
      <c r="D69" s="54">
        <f t="shared" si="23"/>
      </c>
      <c r="E69" s="55">
        <f t="shared" si="24"/>
      </c>
      <c r="F69" s="56">
        <f t="shared" si="25"/>
      </c>
      <c r="G69" s="57">
        <f t="shared" si="26"/>
      </c>
      <c r="H69" s="55">
        <f t="shared" si="27"/>
      </c>
      <c r="I69" s="56">
        <f t="shared" si="28"/>
      </c>
      <c r="J69" s="58">
        <f t="shared" si="20"/>
      </c>
      <c r="K69" s="69"/>
    </row>
    <row r="70" spans="1:11" ht="15.75">
      <c r="A70" s="66">
        <f t="shared" si="10"/>
      </c>
      <c r="B70" s="56">
        <f t="shared" si="21"/>
      </c>
      <c r="C70" s="59">
        <f t="shared" si="22"/>
      </c>
      <c r="D70" s="54">
        <f t="shared" si="23"/>
      </c>
      <c r="E70" s="55">
        <f t="shared" si="24"/>
      </c>
      <c r="F70" s="56">
        <f t="shared" si="25"/>
      </c>
      <c r="G70" s="57">
        <f t="shared" si="26"/>
      </c>
      <c r="H70" s="55">
        <f t="shared" si="27"/>
      </c>
      <c r="I70" s="56">
        <f t="shared" si="28"/>
      </c>
      <c r="J70" s="58">
        <f t="shared" si="20"/>
      </c>
      <c r="K70" s="69"/>
    </row>
    <row r="71" spans="1:11" ht="15.75">
      <c r="A71" s="66">
        <f t="shared" si="10"/>
      </c>
      <c r="B71" s="56">
        <f t="shared" si="21"/>
      </c>
      <c r="C71" s="59">
        <f t="shared" si="22"/>
      </c>
      <c r="D71" s="54">
        <f t="shared" si="23"/>
      </c>
      <c r="E71" s="55">
        <f t="shared" si="24"/>
      </c>
      <c r="F71" s="56">
        <f t="shared" si="25"/>
      </c>
      <c r="G71" s="57">
        <f t="shared" si="26"/>
      </c>
      <c r="H71" s="55">
        <f t="shared" si="27"/>
      </c>
      <c r="I71" s="56">
        <f t="shared" si="28"/>
      </c>
      <c r="J71" s="58">
        <f t="shared" si="20"/>
      </c>
      <c r="K71" s="69"/>
    </row>
    <row r="72" spans="1:11" ht="15.75">
      <c r="A72" s="66">
        <f t="shared" si="10"/>
      </c>
      <c r="B72" s="56">
        <f t="shared" si="21"/>
      </c>
      <c r="C72" s="59">
        <f t="shared" si="22"/>
      </c>
      <c r="D72" s="54">
        <f t="shared" si="23"/>
      </c>
      <c r="E72" s="55">
        <f t="shared" si="24"/>
      </c>
      <c r="F72" s="56">
        <f t="shared" si="25"/>
      </c>
      <c r="G72" s="57">
        <f t="shared" si="26"/>
      </c>
      <c r="H72" s="55">
        <f t="shared" si="27"/>
      </c>
      <c r="I72" s="56">
        <f t="shared" si="28"/>
      </c>
      <c r="J72" s="58">
        <f t="shared" si="20"/>
      </c>
      <c r="K72" s="69"/>
    </row>
    <row r="73" spans="1:11" ht="15.75">
      <c r="A73" s="66">
        <f t="shared" si="10"/>
      </c>
      <c r="B73" s="56">
        <f t="shared" si="21"/>
      </c>
      <c r="C73" s="59">
        <f t="shared" si="22"/>
      </c>
      <c r="D73" s="54">
        <f t="shared" si="23"/>
      </c>
      <c r="E73" s="55">
        <f t="shared" si="24"/>
      </c>
      <c r="F73" s="56">
        <f t="shared" si="25"/>
      </c>
      <c r="G73" s="57">
        <f t="shared" si="26"/>
      </c>
      <c r="H73" s="55">
        <f t="shared" si="27"/>
      </c>
      <c r="I73" s="56">
        <f t="shared" si="28"/>
      </c>
      <c r="J73" s="58">
        <f t="shared" si="20"/>
      </c>
      <c r="K73" s="69"/>
    </row>
    <row r="74" spans="1:11" ht="15.75">
      <c r="A74" s="66">
        <f t="shared" si="10"/>
      </c>
      <c r="B74" s="56">
        <f t="shared" si="21"/>
      </c>
      <c r="C74" s="59">
        <f t="shared" si="22"/>
      </c>
      <c r="D74" s="54">
        <f t="shared" si="23"/>
      </c>
      <c r="E74" s="55">
        <f t="shared" si="24"/>
      </c>
      <c r="F74" s="56">
        <f t="shared" si="25"/>
      </c>
      <c r="G74" s="57">
        <f t="shared" si="26"/>
      </c>
      <c r="H74" s="55">
        <f t="shared" si="27"/>
      </c>
      <c r="I74" s="56">
        <f t="shared" si="28"/>
      </c>
      <c r="J74" s="58">
        <f t="shared" si="20"/>
      </c>
      <c r="K74" s="69"/>
    </row>
    <row r="75" spans="1:11" ht="15.75">
      <c r="A75" s="66">
        <f t="shared" si="10"/>
      </c>
      <c r="B75" s="56">
        <f t="shared" si="21"/>
      </c>
      <c r="C75" s="59">
        <f t="shared" si="22"/>
      </c>
      <c r="D75" s="54">
        <f t="shared" si="23"/>
      </c>
      <c r="E75" s="55">
        <f t="shared" si="24"/>
      </c>
      <c r="F75" s="56">
        <f t="shared" si="25"/>
      </c>
      <c r="G75" s="57">
        <f t="shared" si="26"/>
      </c>
      <c r="H75" s="55">
        <f t="shared" si="27"/>
      </c>
      <c r="I75" s="56">
        <f t="shared" si="28"/>
      </c>
      <c r="J75" s="58">
        <f t="shared" si="20"/>
      </c>
      <c r="K75" s="69"/>
    </row>
    <row r="76" spans="1:11" ht="15.75">
      <c r="A76" s="66">
        <f t="shared" si="10"/>
      </c>
      <c r="B76" s="56">
        <f t="shared" si="21"/>
      </c>
      <c r="C76" s="59">
        <f t="shared" si="22"/>
      </c>
      <c r="D76" s="54">
        <f t="shared" si="23"/>
      </c>
      <c r="E76" s="55">
        <f t="shared" si="24"/>
      </c>
      <c r="F76" s="56">
        <f t="shared" si="25"/>
      </c>
      <c r="G76" s="57">
        <f t="shared" si="26"/>
      </c>
      <c r="H76" s="55">
        <f t="shared" si="27"/>
      </c>
      <c r="I76" s="56">
        <f t="shared" si="28"/>
      </c>
      <c r="J76" s="58">
        <f t="shared" si="20"/>
      </c>
      <c r="K76" s="69"/>
    </row>
    <row r="77" spans="1:11" ht="15.75">
      <c r="A77" s="66">
        <f t="shared" si="10"/>
      </c>
      <c r="B77" s="56">
        <f t="shared" si="21"/>
      </c>
      <c r="C77" s="59">
        <f t="shared" si="22"/>
      </c>
      <c r="D77" s="54">
        <f t="shared" si="23"/>
      </c>
      <c r="E77" s="55">
        <f t="shared" si="24"/>
      </c>
      <c r="F77" s="56">
        <f t="shared" si="25"/>
      </c>
      <c r="G77" s="57">
        <f t="shared" si="26"/>
      </c>
      <c r="H77" s="55">
        <f t="shared" si="27"/>
      </c>
      <c r="I77" s="56">
        <f t="shared" si="28"/>
      </c>
      <c r="J77" s="58">
        <f t="shared" si="20"/>
      </c>
      <c r="K77" s="69"/>
    </row>
    <row r="78" spans="1:11" ht="15.75">
      <c r="A78" s="66">
        <f t="shared" si="10"/>
      </c>
      <c r="B78" s="56">
        <f t="shared" si="21"/>
      </c>
      <c r="C78" s="59">
        <f t="shared" si="22"/>
      </c>
      <c r="D78" s="54">
        <f t="shared" si="23"/>
      </c>
      <c r="E78" s="55">
        <f t="shared" si="24"/>
      </c>
      <c r="F78" s="56">
        <f t="shared" si="25"/>
      </c>
      <c r="G78" s="57">
        <f t="shared" si="26"/>
      </c>
      <c r="H78" s="55">
        <f t="shared" si="27"/>
      </c>
      <c r="I78" s="56">
        <f t="shared" si="28"/>
      </c>
      <c r="J78" s="58">
        <f t="shared" si="20"/>
      </c>
      <c r="K78" s="69"/>
    </row>
    <row r="79" spans="1:11" ht="15.75">
      <c r="A79" s="66">
        <f t="shared" si="10"/>
      </c>
      <c r="B79" s="56">
        <f t="shared" si="21"/>
      </c>
      <c r="C79" s="59">
        <f t="shared" si="22"/>
      </c>
      <c r="D79" s="54">
        <f t="shared" si="23"/>
      </c>
      <c r="E79" s="55">
        <f t="shared" si="24"/>
      </c>
      <c r="F79" s="56">
        <f t="shared" si="25"/>
      </c>
      <c r="G79" s="57">
        <f t="shared" si="26"/>
      </c>
      <c r="H79" s="55">
        <f t="shared" si="27"/>
      </c>
      <c r="I79" s="56">
        <f t="shared" si="28"/>
      </c>
      <c r="J79" s="58">
        <f t="shared" si="20"/>
      </c>
      <c r="K79" s="69"/>
    </row>
    <row r="80" spans="1:11" ht="15.75">
      <c r="A80" s="66">
        <f t="shared" si="10"/>
      </c>
      <c r="B80" s="56">
        <f t="shared" si="21"/>
      </c>
      <c r="C80" s="59">
        <f t="shared" si="22"/>
      </c>
      <c r="D80" s="54">
        <f t="shared" si="23"/>
      </c>
      <c r="E80" s="55">
        <f t="shared" si="24"/>
      </c>
      <c r="F80" s="56">
        <f t="shared" si="25"/>
      </c>
      <c r="G80" s="57">
        <f t="shared" si="26"/>
      </c>
      <c r="H80" s="55">
        <f t="shared" si="27"/>
      </c>
      <c r="I80" s="56">
        <f t="shared" si="28"/>
      </c>
      <c r="J80" s="58">
        <f t="shared" si="20"/>
      </c>
      <c r="K80" s="69"/>
    </row>
    <row r="81" spans="1:11" ht="15.75">
      <c r="A81" s="66">
        <f t="shared" si="10"/>
      </c>
      <c r="B81" s="56">
        <f t="shared" si="21"/>
      </c>
      <c r="C81" s="59">
        <f t="shared" si="22"/>
      </c>
      <c r="D81" s="54">
        <f t="shared" si="23"/>
      </c>
      <c r="E81" s="55">
        <f t="shared" si="24"/>
      </c>
      <c r="F81" s="56">
        <f t="shared" si="25"/>
      </c>
      <c r="G81" s="57">
        <f t="shared" si="26"/>
      </c>
      <c r="H81" s="55">
        <f t="shared" si="27"/>
      </c>
      <c r="I81" s="56">
        <f t="shared" si="28"/>
      </c>
      <c r="J81" s="58">
        <f t="shared" si="20"/>
      </c>
      <c r="K81" s="69"/>
    </row>
    <row r="82" spans="1:11" ht="15.75">
      <c r="A82" s="66">
        <f t="shared" si="10"/>
      </c>
      <c r="B82" s="56">
        <f t="shared" si="21"/>
      </c>
      <c r="C82" s="59">
        <f t="shared" si="22"/>
      </c>
      <c r="D82" s="54">
        <f t="shared" si="23"/>
      </c>
      <c r="E82" s="55">
        <f t="shared" si="24"/>
      </c>
      <c r="F82" s="56">
        <f t="shared" si="25"/>
      </c>
      <c r="G82" s="57">
        <f t="shared" si="26"/>
      </c>
      <c r="H82" s="55">
        <f t="shared" si="27"/>
      </c>
      <c r="I82" s="56">
        <f t="shared" si="28"/>
      </c>
      <c r="J82" s="58">
        <f t="shared" si="20"/>
      </c>
      <c r="K82" s="69"/>
    </row>
    <row r="83" spans="1:11" ht="15.75">
      <c r="A83" s="66">
        <f t="shared" si="10"/>
      </c>
      <c r="B83" s="56">
        <f t="shared" si="21"/>
      </c>
      <c r="C83" s="59">
        <f t="shared" si="22"/>
      </c>
      <c r="D83" s="54">
        <f t="shared" si="23"/>
      </c>
      <c r="E83" s="55">
        <f t="shared" si="24"/>
      </c>
      <c r="F83" s="56">
        <f t="shared" si="25"/>
      </c>
      <c r="G83" s="57">
        <f t="shared" si="26"/>
      </c>
      <c r="H83" s="55">
        <f t="shared" si="27"/>
      </c>
      <c r="I83" s="56">
        <f t="shared" si="28"/>
      </c>
      <c r="J83" s="58">
        <f t="shared" si="20"/>
      </c>
      <c r="K83" s="69"/>
    </row>
    <row r="84" spans="1:11" ht="15.75">
      <c r="A84" s="66">
        <f t="shared" si="10"/>
      </c>
      <c r="B84" s="56">
        <f t="shared" si="21"/>
      </c>
      <c r="C84" s="59">
        <f t="shared" si="22"/>
      </c>
      <c r="D84" s="54">
        <f t="shared" si="23"/>
      </c>
      <c r="E84" s="55">
        <f t="shared" si="24"/>
      </c>
      <c r="F84" s="56">
        <f t="shared" si="25"/>
      </c>
      <c r="G84" s="57">
        <f t="shared" si="26"/>
      </c>
      <c r="H84" s="55">
        <f t="shared" si="27"/>
      </c>
      <c r="I84" s="56">
        <f t="shared" si="28"/>
      </c>
      <c r="J84" s="58">
        <f t="shared" si="20"/>
      </c>
      <c r="K84" s="69"/>
    </row>
    <row r="85" spans="1:11" ht="15.75">
      <c r="A85" s="66">
        <f t="shared" si="10"/>
      </c>
      <c r="B85" s="56">
        <f t="shared" si="21"/>
      </c>
      <c r="C85" s="59">
        <f t="shared" si="22"/>
      </c>
      <c r="D85" s="54">
        <f t="shared" si="23"/>
      </c>
      <c r="E85" s="55">
        <f t="shared" si="24"/>
      </c>
      <c r="F85" s="56">
        <f t="shared" si="25"/>
      </c>
      <c r="G85" s="57">
        <f t="shared" si="26"/>
      </c>
      <c r="H85" s="55">
        <f t="shared" si="27"/>
      </c>
      <c r="I85" s="56">
        <f t="shared" si="28"/>
      </c>
      <c r="J85" s="58">
        <f t="shared" si="20"/>
      </c>
      <c r="K85" s="69"/>
    </row>
    <row r="86" spans="1:11" ht="15.75">
      <c r="A86" s="66">
        <f t="shared" si="10"/>
      </c>
      <c r="B86" s="56">
        <f t="shared" si="21"/>
      </c>
      <c r="C86" s="59">
        <f t="shared" si="22"/>
      </c>
      <c r="D86" s="54">
        <f t="shared" si="23"/>
      </c>
      <c r="E86" s="55">
        <f t="shared" si="24"/>
      </c>
      <c r="F86" s="56">
        <f t="shared" si="25"/>
      </c>
      <c r="G86" s="57">
        <f t="shared" si="26"/>
      </c>
      <c r="H86" s="55">
        <f t="shared" si="27"/>
      </c>
      <c r="I86" s="56">
        <f t="shared" si="28"/>
      </c>
      <c r="J86" s="58">
        <f t="shared" si="20"/>
      </c>
      <c r="K86" s="69"/>
    </row>
    <row r="87" spans="1:11" ht="15.75">
      <c r="A87" s="66">
        <f t="shared" si="10"/>
      </c>
      <c r="B87" s="56">
        <f t="shared" si="21"/>
      </c>
      <c r="C87" s="59">
        <f t="shared" si="22"/>
      </c>
      <c r="D87" s="54">
        <f t="shared" si="23"/>
      </c>
      <c r="E87" s="55">
        <f t="shared" si="24"/>
      </c>
      <c r="F87" s="56">
        <f t="shared" si="25"/>
      </c>
      <c r="G87" s="57">
        <f t="shared" si="26"/>
      </c>
      <c r="H87" s="55">
        <f t="shared" si="27"/>
      </c>
      <c r="I87" s="56">
        <f t="shared" si="28"/>
      </c>
      <c r="J87" s="58">
        <f t="shared" si="20"/>
      </c>
      <c r="K87" s="69"/>
    </row>
    <row r="88" spans="1:11" ht="15.75">
      <c r="A88" s="66">
        <f t="shared" si="10"/>
      </c>
      <c r="B88" s="56">
        <f t="shared" si="21"/>
      </c>
      <c r="C88" s="59">
        <f t="shared" si="22"/>
      </c>
      <c r="D88" s="54">
        <f t="shared" si="23"/>
      </c>
      <c r="E88" s="55">
        <f t="shared" si="24"/>
      </c>
      <c r="F88" s="56">
        <f t="shared" si="25"/>
      </c>
      <c r="G88" s="57">
        <f t="shared" si="26"/>
      </c>
      <c r="H88" s="55">
        <f t="shared" si="27"/>
      </c>
      <c r="I88" s="56">
        <f t="shared" si="28"/>
      </c>
      <c r="J88" s="58">
        <f t="shared" si="20"/>
      </c>
      <c r="K88" s="69"/>
    </row>
    <row r="89" spans="1:11" ht="15.75">
      <c r="A89" s="66">
        <f t="shared" si="10"/>
      </c>
      <c r="B89" s="56">
        <f t="shared" si="21"/>
      </c>
      <c r="C89" s="59">
        <f t="shared" si="22"/>
      </c>
      <c r="D89" s="54">
        <f t="shared" si="23"/>
      </c>
      <c r="E89" s="55">
        <f t="shared" si="24"/>
      </c>
      <c r="F89" s="56">
        <f t="shared" si="25"/>
      </c>
      <c r="G89" s="57">
        <f t="shared" si="26"/>
      </c>
      <c r="H89" s="55">
        <f t="shared" si="27"/>
      </c>
      <c r="I89" s="56">
        <f t="shared" si="28"/>
      </c>
      <c r="J89" s="58">
        <f t="shared" si="20"/>
      </c>
      <c r="K89" s="69"/>
    </row>
    <row r="90" spans="1:11" ht="15.75">
      <c r="A90" s="66">
        <f t="shared" si="10"/>
      </c>
      <c r="B90" s="56">
        <f t="shared" si="21"/>
      </c>
      <c r="C90" s="59">
        <f t="shared" si="22"/>
      </c>
      <c r="D90" s="54">
        <f t="shared" si="23"/>
      </c>
      <c r="E90" s="55">
        <f t="shared" si="24"/>
      </c>
      <c r="F90" s="56">
        <f t="shared" si="25"/>
      </c>
      <c r="G90" s="57">
        <f t="shared" si="26"/>
      </c>
      <c r="H90" s="55">
        <f t="shared" si="27"/>
      </c>
      <c r="I90" s="56">
        <f t="shared" si="28"/>
      </c>
      <c r="J90" s="58">
        <f t="shared" si="20"/>
      </c>
      <c r="K90" s="69"/>
    </row>
    <row r="91" spans="1:11" ht="15.75">
      <c r="A91" s="66">
        <f t="shared" si="10"/>
      </c>
      <c r="B91" s="56">
        <f t="shared" si="21"/>
      </c>
      <c r="C91" s="59">
        <f t="shared" si="22"/>
      </c>
      <c r="D91" s="54">
        <f t="shared" si="23"/>
      </c>
      <c r="E91" s="55">
        <f t="shared" si="24"/>
      </c>
      <c r="F91" s="56">
        <f t="shared" si="25"/>
      </c>
      <c r="G91" s="57">
        <f t="shared" si="26"/>
      </c>
      <c r="H91" s="55">
        <f t="shared" si="27"/>
      </c>
      <c r="I91" s="56">
        <f t="shared" si="28"/>
      </c>
      <c r="J91" s="58">
        <f t="shared" si="20"/>
      </c>
      <c r="K91" s="69"/>
    </row>
    <row r="92" spans="1:11" ht="15.75">
      <c r="A92" s="66">
        <f t="shared" si="10"/>
      </c>
      <c r="B92" s="56">
        <f t="shared" si="21"/>
      </c>
      <c r="C92" s="59">
        <f t="shared" si="22"/>
      </c>
      <c r="D92" s="54">
        <f t="shared" si="23"/>
      </c>
      <c r="E92" s="55">
        <f t="shared" si="24"/>
      </c>
      <c r="F92" s="56">
        <f t="shared" si="25"/>
      </c>
      <c r="G92" s="57">
        <f t="shared" si="26"/>
      </c>
      <c r="H92" s="55">
        <f t="shared" si="27"/>
      </c>
      <c r="I92" s="56">
        <f t="shared" si="28"/>
      </c>
      <c r="J92" s="58">
        <f t="shared" si="20"/>
      </c>
      <c r="K92" s="69"/>
    </row>
    <row r="93" spans="1:11" ht="15.75">
      <c r="A93" s="66">
        <f t="shared" si="10"/>
      </c>
      <c r="B93" s="56">
        <f t="shared" si="21"/>
      </c>
      <c r="C93" s="59">
        <f t="shared" si="22"/>
      </c>
      <c r="D93" s="54">
        <f t="shared" si="23"/>
      </c>
      <c r="E93" s="55">
        <f t="shared" si="24"/>
      </c>
      <c r="F93" s="56">
        <f t="shared" si="25"/>
      </c>
      <c r="G93" s="57">
        <f t="shared" si="26"/>
      </c>
      <c r="H93" s="55">
        <f t="shared" si="27"/>
      </c>
      <c r="I93" s="56">
        <f t="shared" si="28"/>
      </c>
      <c r="J93" s="58">
        <f t="shared" si="20"/>
      </c>
      <c r="K93" s="69"/>
    </row>
    <row r="94" spans="1:11" ht="15.75">
      <c r="A94" s="66">
        <f t="shared" si="10"/>
      </c>
      <c r="B94" s="56">
        <f t="shared" si="21"/>
      </c>
      <c r="C94" s="59">
        <f t="shared" si="22"/>
      </c>
      <c r="D94" s="54">
        <f t="shared" si="23"/>
      </c>
      <c r="E94" s="55">
        <f t="shared" si="24"/>
      </c>
      <c r="F94" s="56">
        <f t="shared" si="25"/>
      </c>
      <c r="G94" s="57">
        <f t="shared" si="26"/>
      </c>
      <c r="H94" s="55">
        <f t="shared" si="27"/>
      </c>
      <c r="I94" s="56">
        <f t="shared" si="28"/>
      </c>
      <c r="J94" s="58">
        <f t="shared" si="20"/>
      </c>
      <c r="K94" s="69"/>
    </row>
    <row r="95" spans="1:11" ht="15.75">
      <c r="A95" s="66">
        <f t="shared" si="10"/>
      </c>
      <c r="B95" s="56">
        <f t="shared" si="21"/>
      </c>
      <c r="C95" s="59">
        <f t="shared" si="22"/>
      </c>
      <c r="D95" s="54">
        <f t="shared" si="23"/>
      </c>
      <c r="E95" s="55">
        <f t="shared" si="24"/>
      </c>
      <c r="F95" s="56">
        <f t="shared" si="25"/>
      </c>
      <c r="G95" s="57">
        <f t="shared" si="26"/>
      </c>
      <c r="H95" s="55">
        <f t="shared" si="27"/>
      </c>
      <c r="I95" s="56">
        <f t="shared" si="28"/>
      </c>
      <c r="J95" s="58">
        <f aca="true" t="shared" si="29" ref="J95:J106">IF(B95="","",IF(G95="No","",IF(ABS(I95-B95)&lt;=$C$24,"Sí","No")))</f>
      </c>
      <c r="K95" s="69"/>
    </row>
    <row r="96" spans="1:11" ht="15.75">
      <c r="A96" s="66">
        <f aca="true" t="shared" si="30" ref="A96:A106">IF(J96="Sí",IF(J96=G96,1,0),"")</f>
      </c>
      <c r="B96" s="56">
        <f aca="true" t="shared" si="31" ref="B96:B106">IF(B95="","",IF(G95="No",B95,IF(J95="Sí","",$C$19-H95)))</f>
      </c>
      <c r="C96" s="59">
        <f aca="true" t="shared" si="32" ref="C96:C106">IF(G95="No",C95+($C$9/0.0254),IF(J95="Sí","",C95))</f>
      </c>
      <c r="D96" s="54">
        <f aca="true" t="shared" si="33" ref="D96:D106">IF(G95=J95,"",(-2*SQRT(2*$C$22*(C96*0.0254)*B96/$C$7))*LOG(($C$8/(3.7*C96*0.0254))+((2.51*$C$15*SQRT($C$7))/(C96*0.0254*SQRT(2*$C$22*C96*0.0254*B96)))))</f>
      </c>
      <c r="E96" s="55">
        <f aca="true" t="shared" si="34" ref="E96:E106">IF(G95=J95,"",(PI()*(C96*0.0254)^2)/4)</f>
      </c>
      <c r="F96" s="56">
        <f aca="true" t="shared" si="35" ref="F96:F106">IF(G95=J95,"",D96*E96)</f>
      </c>
      <c r="G96" s="57">
        <f aca="true" t="shared" si="36" ref="G96:G106">IF(G95=J95,"",IF(F96&gt;=$C$17,"Sí","No"))</f>
      </c>
      <c r="H96" s="55">
        <f aca="true" t="shared" si="37" ref="H96:H106">IF(G95=J95,"",IF(G96="No","",$C$11*D96*D96/(2*$C$22)))</f>
      </c>
      <c r="I96" s="56">
        <f aca="true" t="shared" si="38" ref="I96:I106">IF(G95=J95,"",IF(G96="No","",IF(G96="No",B96,$C$19-$C$20-H96)))</f>
      </c>
      <c r="J96" s="58">
        <f t="shared" si="29"/>
      </c>
      <c r="K96" s="69"/>
    </row>
    <row r="97" spans="1:11" ht="15.75">
      <c r="A97" s="66">
        <f t="shared" si="30"/>
      </c>
      <c r="B97" s="56">
        <f t="shared" si="31"/>
      </c>
      <c r="C97" s="59">
        <f t="shared" si="32"/>
      </c>
      <c r="D97" s="54">
        <f t="shared" si="33"/>
      </c>
      <c r="E97" s="55">
        <f t="shared" si="34"/>
      </c>
      <c r="F97" s="56">
        <f t="shared" si="35"/>
      </c>
      <c r="G97" s="57">
        <f t="shared" si="36"/>
      </c>
      <c r="H97" s="55">
        <f t="shared" si="37"/>
      </c>
      <c r="I97" s="56">
        <f t="shared" si="38"/>
      </c>
      <c r="J97" s="58">
        <f t="shared" si="29"/>
      </c>
      <c r="K97" s="69"/>
    </row>
    <row r="98" spans="1:11" ht="15.75">
      <c r="A98" s="66">
        <f t="shared" si="30"/>
      </c>
      <c r="B98" s="56">
        <f t="shared" si="31"/>
      </c>
      <c r="C98" s="59">
        <f t="shared" si="32"/>
      </c>
      <c r="D98" s="54">
        <f t="shared" si="33"/>
      </c>
      <c r="E98" s="55">
        <f t="shared" si="34"/>
      </c>
      <c r="F98" s="56">
        <f t="shared" si="35"/>
      </c>
      <c r="G98" s="57">
        <f t="shared" si="36"/>
      </c>
      <c r="H98" s="55">
        <f t="shared" si="37"/>
      </c>
      <c r="I98" s="56">
        <f t="shared" si="38"/>
      </c>
      <c r="J98" s="58">
        <f t="shared" si="29"/>
      </c>
      <c r="K98" s="69"/>
    </row>
    <row r="99" spans="1:11" ht="15.75">
      <c r="A99" s="66">
        <f t="shared" si="30"/>
      </c>
      <c r="B99" s="56">
        <f t="shared" si="31"/>
      </c>
      <c r="C99" s="59">
        <f t="shared" si="32"/>
      </c>
      <c r="D99" s="54">
        <f t="shared" si="33"/>
      </c>
      <c r="E99" s="55">
        <f t="shared" si="34"/>
      </c>
      <c r="F99" s="56">
        <f t="shared" si="35"/>
      </c>
      <c r="G99" s="57">
        <f t="shared" si="36"/>
      </c>
      <c r="H99" s="55">
        <f t="shared" si="37"/>
      </c>
      <c r="I99" s="56">
        <f t="shared" si="38"/>
      </c>
      <c r="J99" s="58">
        <f t="shared" si="29"/>
      </c>
      <c r="K99" s="69"/>
    </row>
    <row r="100" spans="1:11" ht="15.75">
      <c r="A100" s="66">
        <f t="shared" si="30"/>
      </c>
      <c r="B100" s="56">
        <f t="shared" si="31"/>
      </c>
      <c r="C100" s="59">
        <f t="shared" si="32"/>
      </c>
      <c r="D100" s="54">
        <f t="shared" si="33"/>
      </c>
      <c r="E100" s="55">
        <f t="shared" si="34"/>
      </c>
      <c r="F100" s="56">
        <f t="shared" si="35"/>
      </c>
      <c r="G100" s="57">
        <f t="shared" si="36"/>
      </c>
      <c r="H100" s="55">
        <f t="shared" si="37"/>
      </c>
      <c r="I100" s="56">
        <f t="shared" si="38"/>
      </c>
      <c r="J100" s="58">
        <f t="shared" si="29"/>
      </c>
      <c r="K100" s="69"/>
    </row>
    <row r="101" spans="1:11" ht="15.75">
      <c r="A101" s="66">
        <f t="shared" si="30"/>
      </c>
      <c r="B101" s="56">
        <f t="shared" si="31"/>
      </c>
      <c r="C101" s="59">
        <f t="shared" si="32"/>
      </c>
      <c r="D101" s="54">
        <f t="shared" si="33"/>
      </c>
      <c r="E101" s="55">
        <f t="shared" si="34"/>
      </c>
      <c r="F101" s="56">
        <f t="shared" si="35"/>
      </c>
      <c r="G101" s="57">
        <f t="shared" si="36"/>
      </c>
      <c r="H101" s="55">
        <f t="shared" si="37"/>
      </c>
      <c r="I101" s="56">
        <f t="shared" si="38"/>
      </c>
      <c r="J101" s="58">
        <f t="shared" si="29"/>
      </c>
      <c r="K101" s="69"/>
    </row>
    <row r="102" spans="1:11" ht="15.75">
      <c r="A102" s="66">
        <f t="shared" si="30"/>
      </c>
      <c r="B102" s="56">
        <f t="shared" si="31"/>
      </c>
      <c r="C102" s="59">
        <f t="shared" si="32"/>
      </c>
      <c r="D102" s="54">
        <f t="shared" si="33"/>
      </c>
      <c r="E102" s="55">
        <f t="shared" si="34"/>
      </c>
      <c r="F102" s="56">
        <f t="shared" si="35"/>
      </c>
      <c r="G102" s="57">
        <f t="shared" si="36"/>
      </c>
      <c r="H102" s="55">
        <f t="shared" si="37"/>
      </c>
      <c r="I102" s="56">
        <f t="shared" si="38"/>
      </c>
      <c r="J102" s="58">
        <f t="shared" si="29"/>
      </c>
      <c r="K102" s="69"/>
    </row>
    <row r="103" spans="1:11" ht="15.75">
      <c r="A103" s="66">
        <f t="shared" si="30"/>
      </c>
      <c r="B103" s="56">
        <f t="shared" si="31"/>
      </c>
      <c r="C103" s="59">
        <f t="shared" si="32"/>
      </c>
      <c r="D103" s="54">
        <f t="shared" si="33"/>
      </c>
      <c r="E103" s="55">
        <f t="shared" si="34"/>
      </c>
      <c r="F103" s="56">
        <f t="shared" si="35"/>
      </c>
      <c r="G103" s="57">
        <f t="shared" si="36"/>
      </c>
      <c r="H103" s="55">
        <f t="shared" si="37"/>
      </c>
      <c r="I103" s="56">
        <f t="shared" si="38"/>
      </c>
      <c r="J103" s="58">
        <f t="shared" si="29"/>
      </c>
      <c r="K103" s="69"/>
    </row>
    <row r="104" spans="1:11" ht="15.75">
      <c r="A104" s="66">
        <f t="shared" si="30"/>
      </c>
      <c r="B104" s="56">
        <f t="shared" si="31"/>
      </c>
      <c r="C104" s="59">
        <f t="shared" si="32"/>
      </c>
      <c r="D104" s="54">
        <f t="shared" si="33"/>
      </c>
      <c r="E104" s="55">
        <f t="shared" si="34"/>
      </c>
      <c r="F104" s="56">
        <f t="shared" si="35"/>
      </c>
      <c r="G104" s="57">
        <f t="shared" si="36"/>
      </c>
      <c r="H104" s="55">
        <f t="shared" si="37"/>
      </c>
      <c r="I104" s="56">
        <f t="shared" si="38"/>
      </c>
      <c r="J104" s="58">
        <f t="shared" si="29"/>
      </c>
      <c r="K104" s="69"/>
    </row>
    <row r="105" spans="1:11" ht="15.75">
      <c r="A105" s="66">
        <f t="shared" si="30"/>
      </c>
      <c r="B105" s="56">
        <f t="shared" si="31"/>
      </c>
      <c r="C105" s="59">
        <f t="shared" si="32"/>
      </c>
      <c r="D105" s="54">
        <f t="shared" si="33"/>
      </c>
      <c r="E105" s="55">
        <f t="shared" si="34"/>
      </c>
      <c r="F105" s="56">
        <f t="shared" si="35"/>
      </c>
      <c r="G105" s="57">
        <f t="shared" si="36"/>
      </c>
      <c r="H105" s="55">
        <f t="shared" si="37"/>
      </c>
      <c r="I105" s="56">
        <f t="shared" si="38"/>
      </c>
      <c r="J105" s="58">
        <f t="shared" si="29"/>
      </c>
      <c r="K105" s="69"/>
    </row>
    <row r="106" spans="1:11" ht="15.75">
      <c r="A106" s="66">
        <f t="shared" si="30"/>
      </c>
      <c r="B106" s="56">
        <f t="shared" si="31"/>
      </c>
      <c r="C106" s="59">
        <f t="shared" si="32"/>
      </c>
      <c r="D106" s="54">
        <f t="shared" si="33"/>
      </c>
      <c r="E106" s="55">
        <f t="shared" si="34"/>
      </c>
      <c r="F106" s="56">
        <f t="shared" si="35"/>
      </c>
      <c r="G106" s="57">
        <f t="shared" si="36"/>
      </c>
      <c r="H106" s="55">
        <f t="shared" si="37"/>
      </c>
      <c r="I106" s="56">
        <f t="shared" si="38"/>
      </c>
      <c r="J106" s="58">
        <f t="shared" si="29"/>
      </c>
      <c r="K106" s="69"/>
    </row>
  </sheetData>
  <mergeCells count="12">
    <mergeCell ref="A1:T2"/>
    <mergeCell ref="F5:G5"/>
    <mergeCell ref="B6:D6"/>
    <mergeCell ref="B10:D10"/>
    <mergeCell ref="I5:K5"/>
    <mergeCell ref="B21:D21"/>
    <mergeCell ref="B23:D23"/>
    <mergeCell ref="B5:D5"/>
    <mergeCell ref="I12:K12"/>
    <mergeCell ref="B12:D12"/>
    <mergeCell ref="B16:D16"/>
    <mergeCell ref="B18:D18"/>
  </mergeCells>
  <conditionalFormatting sqref="J6:J10">
    <cfRule type="cellIs" priority="1" dxfId="0" operator="greaterThan" stopIfTrue="1">
      <formula>0</formula>
    </cfRule>
  </conditionalFormatting>
  <printOptions horizontalCentered="1" verticalCentered="1"/>
  <pageMargins left="0.5905511811023623" right="0.5905511811023623" top="0.5905511811023623" bottom="0.5905511811023623" header="0" footer="0"/>
  <pageSetup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03"/>
  <sheetViews>
    <sheetView zoomScale="75" zoomScaleNormal="75" workbookViewId="0" topLeftCell="A4">
      <selection activeCell="A3" sqref="A3"/>
    </sheetView>
  </sheetViews>
  <sheetFormatPr defaultColWidth="11.421875" defaultRowHeight="12.75"/>
  <cols>
    <col min="1" max="1" width="2.8515625" style="66" customWidth="1"/>
    <col min="2" max="2" width="17.140625" style="0" customWidth="1"/>
    <col min="3" max="3" width="10.28125" style="0" customWidth="1"/>
    <col min="4" max="4" width="11.421875" style="52" customWidth="1"/>
    <col min="5" max="5" width="14.00390625" style="13" bestFit="1" customWidth="1"/>
    <col min="6" max="6" width="13.7109375" style="52" bestFit="1" customWidth="1"/>
    <col min="7" max="7" width="12.421875" style="52" bestFit="1" customWidth="1"/>
    <col min="8" max="8" width="11.421875" style="52" customWidth="1"/>
    <col min="10" max="10" width="18.421875" style="52" bestFit="1" customWidth="1"/>
    <col min="11" max="11" width="11.421875" style="52" customWidth="1"/>
    <col min="12" max="12" width="13.57421875" style="0" customWidth="1"/>
    <col min="13" max="14" width="15.28125" style="0" bestFit="1" customWidth="1"/>
  </cols>
  <sheetData>
    <row r="1" spans="1:13" ht="16.5" customHeight="1">
      <c r="A1" s="297" t="s">
        <v>79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</row>
    <row r="2" spans="1:13" ht="13.5" thickBot="1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1:31" ht="14.25" thickBot="1" thickTop="1">
      <c r="A3"/>
      <c r="D3"/>
      <c r="E3"/>
      <c r="F3"/>
      <c r="K3"/>
      <c r="P3" s="115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7"/>
    </row>
    <row r="4" spans="1:31" ht="16.5" customHeight="1" thickBot="1">
      <c r="A4"/>
      <c r="D4" s="279" t="s">
        <v>0</v>
      </c>
      <c r="E4" s="280"/>
      <c r="F4" s="281"/>
      <c r="G4"/>
      <c r="H4" s="279" t="s">
        <v>46</v>
      </c>
      <c r="I4" s="281"/>
      <c r="J4"/>
      <c r="L4" s="68"/>
      <c r="P4" s="118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20"/>
    </row>
    <row r="5" spans="1:31" ht="13.5" thickBot="1">
      <c r="A5"/>
      <c r="B5" s="53"/>
      <c r="D5" s="271" t="s">
        <v>12</v>
      </c>
      <c r="E5" s="272"/>
      <c r="F5" s="273"/>
      <c r="G5"/>
      <c r="H5" s="46" t="s">
        <v>47</v>
      </c>
      <c r="I5" s="46" t="s">
        <v>7</v>
      </c>
      <c r="J5"/>
      <c r="K5" s="68"/>
      <c r="L5" s="68"/>
      <c r="P5" s="118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20"/>
    </row>
    <row r="6" spans="1:31" ht="12.75">
      <c r="A6"/>
      <c r="B6" s="53"/>
      <c r="D6" s="27" t="s">
        <v>2</v>
      </c>
      <c r="E6" s="96">
        <v>17</v>
      </c>
      <c r="F6" s="42" t="s">
        <v>7</v>
      </c>
      <c r="G6"/>
      <c r="H6" s="62">
        <v>2</v>
      </c>
      <c r="I6" s="5">
        <v>0.0508</v>
      </c>
      <c r="J6"/>
      <c r="K6"/>
      <c r="P6" s="118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20"/>
    </row>
    <row r="7" spans="1:31" ht="16.5" thickBot="1">
      <c r="A7"/>
      <c r="B7" s="53"/>
      <c r="D7" s="27" t="s">
        <v>1</v>
      </c>
      <c r="E7" s="97">
        <v>0.00015</v>
      </c>
      <c r="F7" s="42" t="s">
        <v>7</v>
      </c>
      <c r="G7"/>
      <c r="H7" s="63">
        <v>2.5</v>
      </c>
      <c r="I7" s="3">
        <v>0.0635</v>
      </c>
      <c r="J7"/>
      <c r="K7"/>
      <c r="P7" s="118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20"/>
    </row>
    <row r="8" spans="1:31" ht="13.5" thickBot="1">
      <c r="A8"/>
      <c r="B8" s="53"/>
      <c r="D8" s="271" t="s">
        <v>13</v>
      </c>
      <c r="E8" s="272"/>
      <c r="F8" s="273"/>
      <c r="G8"/>
      <c r="H8" s="64">
        <v>3</v>
      </c>
      <c r="I8" s="3">
        <v>0.07619999999999999</v>
      </c>
      <c r="J8"/>
      <c r="K8"/>
      <c r="P8" s="118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20"/>
    </row>
    <row r="9" spans="1:31" ht="16.5" thickBot="1">
      <c r="A9"/>
      <c r="B9" s="53"/>
      <c r="D9" s="40" t="s">
        <v>4</v>
      </c>
      <c r="E9" s="98">
        <v>4.3</v>
      </c>
      <c r="F9" s="60"/>
      <c r="G9"/>
      <c r="H9" s="64">
        <v>4</v>
      </c>
      <c r="I9" s="3">
        <v>0.1016</v>
      </c>
      <c r="J9"/>
      <c r="K9" s="294" t="s">
        <v>49</v>
      </c>
      <c r="L9" s="295"/>
      <c r="M9" s="296"/>
      <c r="P9" s="118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20"/>
    </row>
    <row r="10" spans="1:31" ht="19.5" thickBot="1">
      <c r="A10"/>
      <c r="B10" s="53"/>
      <c r="D10" s="271" t="s">
        <v>5</v>
      </c>
      <c r="E10" s="272"/>
      <c r="F10" s="273"/>
      <c r="G10"/>
      <c r="H10" s="64">
        <v>6</v>
      </c>
      <c r="I10" s="3">
        <v>0.1524</v>
      </c>
      <c r="J10"/>
      <c r="K10" s="87" t="s">
        <v>50</v>
      </c>
      <c r="L10" s="70">
        <f>VLOOKUP(1,$A$27:$O$60,8)</f>
        <v>0.1418737264214695</v>
      </c>
      <c r="M10" s="91" t="s">
        <v>45</v>
      </c>
      <c r="P10" s="118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20"/>
    </row>
    <row r="11" spans="1:31" ht="19.5" thickBot="1">
      <c r="A11"/>
      <c r="B11" s="53"/>
      <c r="D11" s="26" t="s">
        <v>6</v>
      </c>
      <c r="E11" s="99">
        <v>999.3</v>
      </c>
      <c r="F11" s="30" t="s">
        <v>54</v>
      </c>
      <c r="G11"/>
      <c r="H11" s="64">
        <v>8</v>
      </c>
      <c r="I11" s="3">
        <v>0.2032</v>
      </c>
      <c r="J11"/>
      <c r="K11" s="88" t="s">
        <v>53</v>
      </c>
      <c r="L11" s="70">
        <f>VLOOKUP(1,$A$27:$O$60,6)</f>
        <v>2.7999138018282728</v>
      </c>
      <c r="M11" s="92" t="s">
        <v>41</v>
      </c>
      <c r="P11" s="118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20"/>
    </row>
    <row r="12" spans="1:31" ht="13.5" thickBot="1">
      <c r="A12"/>
      <c r="B12" s="53"/>
      <c r="D12" s="26" t="s">
        <v>7</v>
      </c>
      <c r="E12" s="100">
        <v>0.00117</v>
      </c>
      <c r="F12" s="29" t="s">
        <v>20</v>
      </c>
      <c r="G12"/>
      <c r="H12" s="64">
        <v>10</v>
      </c>
      <c r="I12" s="3">
        <v>0.254</v>
      </c>
      <c r="J12"/>
      <c r="K12" s="89" t="s">
        <v>51</v>
      </c>
      <c r="L12" s="70">
        <f>VLOOKUP(1,$A$27:$O$60,4)</f>
        <v>0.483</v>
      </c>
      <c r="M12" s="93" t="s">
        <v>7</v>
      </c>
      <c r="P12" s="118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20"/>
    </row>
    <row r="13" spans="1:31" ht="19.5" thickBot="1">
      <c r="A13"/>
      <c r="B13" s="53"/>
      <c r="D13" s="26" t="s">
        <v>19</v>
      </c>
      <c r="E13" s="101">
        <f>1.17*10^-6</f>
        <v>1.1699999999999998E-06</v>
      </c>
      <c r="F13" s="30" t="s">
        <v>55</v>
      </c>
      <c r="G13"/>
      <c r="H13" s="64">
        <v>12</v>
      </c>
      <c r="I13" s="3">
        <v>0.30479999999999996</v>
      </c>
      <c r="J13"/>
      <c r="K13" s="88" t="s">
        <v>52</v>
      </c>
      <c r="L13" s="70">
        <f>VLOOKUP(1,$A$27:$O$60,10)</f>
        <v>1.7181408960231572</v>
      </c>
      <c r="M13" s="92" t="s">
        <v>7</v>
      </c>
      <c r="P13" s="118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20"/>
    </row>
    <row r="14" spans="1:31" ht="13.5" thickBot="1">
      <c r="A14"/>
      <c r="B14" s="53"/>
      <c r="D14" s="271" t="s">
        <v>34</v>
      </c>
      <c r="E14" s="272"/>
      <c r="F14" s="273"/>
      <c r="G14"/>
      <c r="H14" s="64">
        <v>14</v>
      </c>
      <c r="I14" s="3">
        <v>0.35559999999999997</v>
      </c>
      <c r="J14"/>
      <c r="K14" s="90" t="s">
        <v>63</v>
      </c>
      <c r="L14" s="102">
        <f>VLOOKUP(1,$A$27:$O$60,5)</f>
        <v>10</v>
      </c>
      <c r="M14" s="93" t="s">
        <v>62</v>
      </c>
      <c r="P14" s="118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20"/>
    </row>
    <row r="15" spans="1:31" ht="19.5" thickBot="1">
      <c r="A15"/>
      <c r="B15" s="53"/>
      <c r="D15" s="40" t="s">
        <v>43</v>
      </c>
      <c r="E15" s="98">
        <v>0.12</v>
      </c>
      <c r="F15" s="30" t="s">
        <v>45</v>
      </c>
      <c r="G15"/>
      <c r="H15" s="64">
        <v>18</v>
      </c>
      <c r="I15" s="3">
        <v>0.4572</v>
      </c>
      <c r="J15"/>
      <c r="K15" s="12"/>
      <c r="L15" s="2"/>
      <c r="M15" s="2"/>
      <c r="P15" s="118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20"/>
    </row>
    <row r="16" spans="1:31" ht="13.5" thickBot="1">
      <c r="A16"/>
      <c r="B16" s="53"/>
      <c r="D16" s="271" t="s">
        <v>14</v>
      </c>
      <c r="E16" s="272"/>
      <c r="F16" s="273"/>
      <c r="G16"/>
      <c r="H16" s="64">
        <v>20</v>
      </c>
      <c r="I16" s="3">
        <v>0.508</v>
      </c>
      <c r="J16"/>
      <c r="K16"/>
      <c r="P16" s="118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20"/>
    </row>
    <row r="17" spans="1:31" ht="15.75">
      <c r="A17"/>
      <c r="B17" s="53"/>
      <c r="D17" s="49" t="s">
        <v>3</v>
      </c>
      <c r="E17" s="103">
        <v>2.2</v>
      </c>
      <c r="F17" s="61" t="s">
        <v>7</v>
      </c>
      <c r="G17"/>
      <c r="H17" s="64">
        <v>24</v>
      </c>
      <c r="I17" s="3">
        <v>0.6095999999999999</v>
      </c>
      <c r="J17"/>
      <c r="K17"/>
      <c r="P17" s="118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20"/>
    </row>
    <row r="18" spans="1:31" ht="16.5" thickBot="1">
      <c r="A18"/>
      <c r="B18" s="53"/>
      <c r="D18" s="49" t="s">
        <v>8</v>
      </c>
      <c r="E18" s="104">
        <v>0</v>
      </c>
      <c r="F18" s="30" t="s">
        <v>7</v>
      </c>
      <c r="G18"/>
      <c r="H18" s="64">
        <v>30</v>
      </c>
      <c r="I18" s="3">
        <v>0.762</v>
      </c>
      <c r="J18"/>
      <c r="K18"/>
      <c r="P18" s="118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20"/>
    </row>
    <row r="19" spans="1:31" ht="13.5" thickBot="1">
      <c r="A19"/>
      <c r="D19" s="271" t="s">
        <v>39</v>
      </c>
      <c r="E19" s="272"/>
      <c r="F19" s="273"/>
      <c r="G19"/>
      <c r="H19" s="64">
        <v>36</v>
      </c>
      <c r="I19" s="3">
        <v>0.9144</v>
      </c>
      <c r="J19"/>
      <c r="K19"/>
      <c r="P19" s="118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20"/>
    </row>
    <row r="20" spans="1:31" ht="19.5" thickBot="1">
      <c r="A20"/>
      <c r="D20" s="49" t="s">
        <v>18</v>
      </c>
      <c r="E20" s="105">
        <v>9.81</v>
      </c>
      <c r="F20" s="30" t="s">
        <v>56</v>
      </c>
      <c r="G20"/>
      <c r="H20" s="64">
        <v>42</v>
      </c>
      <c r="I20" s="3">
        <v>1.0668</v>
      </c>
      <c r="J20"/>
      <c r="K20"/>
      <c r="P20" s="118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20"/>
    </row>
    <row r="21" spans="1:31" ht="13.5" thickBot="1">
      <c r="A21"/>
      <c r="D21" s="271" t="s">
        <v>17</v>
      </c>
      <c r="E21" s="272"/>
      <c r="F21" s="273"/>
      <c r="G21"/>
      <c r="H21" s="64">
        <v>48</v>
      </c>
      <c r="I21" s="3">
        <v>1.2191999999999998</v>
      </c>
      <c r="J21"/>
      <c r="K21"/>
      <c r="P21" s="118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20"/>
    </row>
    <row r="22" spans="1:31" ht="13.5" thickBot="1">
      <c r="A22"/>
      <c r="D22" s="41" t="s">
        <v>9</v>
      </c>
      <c r="E22" s="98">
        <v>0.0001</v>
      </c>
      <c r="F22" s="43"/>
      <c r="G22"/>
      <c r="H22" s="64">
        <v>60</v>
      </c>
      <c r="I22" s="3">
        <v>1.524</v>
      </c>
      <c r="J22"/>
      <c r="K22"/>
      <c r="P22" s="118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20"/>
    </row>
    <row r="23" spans="1:31" ht="13.5" thickBot="1">
      <c r="A23"/>
      <c r="D23" s="37"/>
      <c r="E23" s="2"/>
      <c r="F23" s="37"/>
      <c r="G23"/>
      <c r="H23" s="65">
        <v>72</v>
      </c>
      <c r="I23" s="4">
        <v>1.8288</v>
      </c>
      <c r="J23"/>
      <c r="K23"/>
      <c r="P23" s="118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20"/>
    </row>
    <row r="24" spans="1:31" ht="13.5" customHeight="1" thickBot="1">
      <c r="A24"/>
      <c r="D24"/>
      <c r="E24"/>
      <c r="F24"/>
      <c r="G24" s="1"/>
      <c r="H24" s="50"/>
      <c r="I24" s="2"/>
      <c r="J24"/>
      <c r="K24"/>
      <c r="P24" s="118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20"/>
    </row>
    <row r="25" spans="1:31" ht="15.75">
      <c r="A25"/>
      <c r="B25" s="158"/>
      <c r="C25" s="158"/>
      <c r="D25" s="164" t="s">
        <v>38</v>
      </c>
      <c r="E25" s="164" t="s">
        <v>26</v>
      </c>
      <c r="F25" s="164" t="s">
        <v>11</v>
      </c>
      <c r="G25" s="164" t="s">
        <v>35</v>
      </c>
      <c r="H25" s="164" t="s">
        <v>25</v>
      </c>
      <c r="I25" s="165" t="s">
        <v>59</v>
      </c>
      <c r="J25" s="166" t="s">
        <v>37</v>
      </c>
      <c r="K25" s="166" t="s">
        <v>71</v>
      </c>
      <c r="L25" s="166" t="s">
        <v>72</v>
      </c>
      <c r="M25" s="167"/>
      <c r="N25" s="167"/>
      <c r="P25" s="118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20"/>
    </row>
    <row r="26" spans="1:31" ht="19.5" thickBot="1">
      <c r="A26"/>
      <c r="B26" s="158"/>
      <c r="C26" s="158"/>
      <c r="D26" s="168" t="s">
        <v>15</v>
      </c>
      <c r="E26" s="168" t="s">
        <v>58</v>
      </c>
      <c r="F26" s="168" t="s">
        <v>16</v>
      </c>
      <c r="G26" s="106" t="s">
        <v>44</v>
      </c>
      <c r="H26" s="106" t="s">
        <v>73</v>
      </c>
      <c r="I26" s="106" t="s">
        <v>60</v>
      </c>
      <c r="J26" s="169" t="s">
        <v>15</v>
      </c>
      <c r="K26" s="169" t="s">
        <v>16</v>
      </c>
      <c r="L26" s="169" t="s">
        <v>60</v>
      </c>
      <c r="M26" s="106" t="s">
        <v>60</v>
      </c>
      <c r="N26" s="106" t="s">
        <v>60</v>
      </c>
      <c r="P26" s="118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20"/>
    </row>
    <row r="27" spans="1:31" ht="15.75">
      <c r="A27" s="66">
        <f aca="true" t="shared" si="0" ref="A27:A60">O27</f>
        <v>0</v>
      </c>
      <c r="B27" s="112"/>
      <c r="C27" s="107"/>
      <c r="D27" s="159">
        <f>$E$17-$E$18</f>
        <v>2.2</v>
      </c>
      <c r="E27" s="160">
        <v>4</v>
      </c>
      <c r="F27" s="170">
        <f>-2*(SQRT(2*$E$20*E27*0.0254*D27/$E$6))*LOG(($E$7/(3.7*E27*0.0254))+(2.51*$E$13*SQRT($E$6/(2*$E$20*E27*0.0254*D27))/(E27*0.0254)))</f>
        <v>3.3939302083527</v>
      </c>
      <c r="G27" s="159">
        <f>(PI()*(E27*0.0254)^2)/4</f>
        <v>0.008107319665559963</v>
      </c>
      <c r="H27" s="161">
        <f>F27*G27</f>
        <v>0.02751567712171587</v>
      </c>
      <c r="I27" s="162" t="str">
        <f>IF(H27&gt;=$E$15,"Sí","No")</f>
        <v>No</v>
      </c>
      <c r="J27" s="159">
        <f>IF(I26=M26,"",IF(I27="No","",$E$9*F27*F27/(2*$E$20)))</f>
      </c>
      <c r="K27" s="159">
        <f>IF(I27="No","",IF(I26=M26,"",IF(D27="","",IF(D27=$E$17,SQRT(2*$E$20*$E$17/$E$9),SQRT(2*$E$20*($E$17-D27)/$E$9)))))</f>
      </c>
      <c r="L27" s="159">
        <f>IF(I27="No","",IF(I26=M26,"",IF(F27&lt;K27,"Sí","No")))</f>
      </c>
      <c r="M27" s="163">
        <f>IF(D27="","",IF(I27="No","",IF(L27="NO","",IF(ABS(D27-D26)&lt;=$E$22,"Sí","No"))))</f>
      </c>
      <c r="N27" s="171">
        <f>IF(I27="Sí",IF(ABS(F27-K27)&lt;=0.001,"Sí","No"),"")</f>
      </c>
      <c r="O27" s="66">
        <f>IF(N27="",0,IF(N27="No",0,1))</f>
        <v>0</v>
      </c>
      <c r="P27" s="118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20"/>
    </row>
    <row r="28" spans="1:31" ht="15.75">
      <c r="A28" s="66">
        <f t="shared" si="0"/>
        <v>0</v>
      </c>
      <c r="B28" s="172" t="str">
        <f aca="true" t="shared" si="1" ref="B28:B60">IF(F27="","",IF(O27=1,"",IF(I27="","",IF(I27="No","Aumente el diámetro",""))))</f>
        <v>Aumente el diámetro</v>
      </c>
      <c r="C28" s="173">
        <f aca="true" t="shared" si="2" ref="C28:C60">IF(F27="","",IF(O27=1,"",IF(I27="Sí",IF(L27="No","Suponer Hf",""),"")))</f>
      </c>
      <c r="D28" s="159">
        <f>IF(F27="","",IF(O27=1,"",IF(N27="Sí","",IF(C27="Suponer Hf",D27,IF(I27="No",IF(J27="",$E$17-$E$18,""),IF(L27="Sí",$E$17-$E$18-J27,""))))))</f>
        <v>2.2</v>
      </c>
      <c r="E28" s="160">
        <v>6</v>
      </c>
      <c r="F28" s="170">
        <f aca="true" t="shared" si="3" ref="F28:F60">IF(F27="","",IF(O27=1,"",-2*(SQRT(2*$E$20*E28*0.0254*D28/$E$6))*LOG(($E$7/(3.7*E28*0.0254))+(2.51*$E$13*SQRT($E$6/(2*$E$20*E28*0.0254*D28))/(E28*0.0254)))))</f>
        <v>4.3882952377046545</v>
      </c>
      <c r="G28" s="159">
        <f aca="true" t="shared" si="4" ref="G28:G60">IF(F27="","",IF(O27=1,"",(PI()*(E28*0.0254)^2)/4))</f>
        <v>0.018241469247509915</v>
      </c>
      <c r="H28" s="161">
        <f aca="true" t="shared" si="5" ref="H28:H60">IF(F27="","",IF(O27=1,"",F28*G28))</f>
        <v>0.08004895262758367</v>
      </c>
      <c r="I28" s="162" t="str">
        <f aca="true" t="shared" si="6" ref="I28:I60">IF(F27="","",IF(O27=1,"",IF(H28&gt;=$E$15,"Sí","No")))</f>
        <v>No</v>
      </c>
      <c r="J28" s="159">
        <f aca="true" t="shared" si="7" ref="J28:J60">IF(F27="","",IF(O27=1,"",IF(I27=M27,"",IF(I28="No","",$E$9*F28*F28/(2*$E$20)))))</f>
      </c>
      <c r="K28" s="159">
        <f aca="true" t="shared" si="8" ref="K28:K60">IF(F27="","",IF(O27=1,"",IF(I28="No","",IF(D28="","",IF(D28=$E$17,SQRT(2*$E$20*$E$17/$E$9),SQRT(2*$E$20*($E$17-D28)/$E$9))))))</f>
      </c>
      <c r="L28" s="159">
        <f aca="true" t="shared" si="9" ref="L28:L60">IF(F27="","",IF(O27=1,"",IF(I28="No","",IF(F28&lt;K28,"Sí","No"))))</f>
      </c>
      <c r="M28" s="163">
        <f aca="true" t="shared" si="10" ref="M28:M60">IF(F27="","",IF(O27=1,"",IF(D28="","",IF(I28="No","",IF(L28="NO","",IF(ABS(D28-D27)&lt;=$E$22,"Sí","No"))))))</f>
      </c>
      <c r="N28" s="171">
        <f aca="true" t="shared" si="11" ref="N28:N60">IF(F27="","",IF(O27=1,"",IF(I28="Sí",IF(ABS(F28-K28)&lt;=0.001,"Sí","No"),"")))</f>
      </c>
      <c r="O28" s="66">
        <f aca="true" t="shared" si="12" ref="O28:O60">IF(F27="","",IF(O27=1,"",IF(N28="",0,IF(N28="No",0,1))))</f>
        <v>0</v>
      </c>
      <c r="P28" s="118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20"/>
    </row>
    <row r="29" spans="1:31" ht="15.75">
      <c r="A29" s="66">
        <f t="shared" si="0"/>
        <v>0</v>
      </c>
      <c r="B29" s="172" t="str">
        <f t="shared" si="1"/>
        <v>Aumente el diámetro</v>
      </c>
      <c r="C29" s="173">
        <f t="shared" si="2"/>
      </c>
      <c r="D29" s="159">
        <f>IF(F28="","",IF(O28=1,"",IF(N28="Sí","",IF(C28="Suponer Hf",D28,IF(I28="No",IF(J28="",$E$17-$E$18,""),IF(L28="Sí",$E$17-$E$18-J28,""))))))</f>
        <v>2.2</v>
      </c>
      <c r="E29" s="160">
        <v>8</v>
      </c>
      <c r="F29" s="170">
        <f t="shared" si="3"/>
        <v>5.255430595978135</v>
      </c>
      <c r="G29" s="159">
        <f t="shared" si="4"/>
        <v>0.03242927866223985</v>
      </c>
      <c r="H29" s="161">
        <f t="shared" si="5"/>
        <v>0.1704298232870362</v>
      </c>
      <c r="I29" s="162" t="str">
        <f t="shared" si="6"/>
        <v>Sí</v>
      </c>
      <c r="J29" s="159">
        <f t="shared" si="7"/>
        <v>6.053214486305571</v>
      </c>
      <c r="K29" s="159">
        <f t="shared" si="8"/>
        <v>3.1683023111571478</v>
      </c>
      <c r="L29" s="159" t="str">
        <f t="shared" si="9"/>
        <v>No</v>
      </c>
      <c r="M29" s="163">
        <f t="shared" si="10"/>
      </c>
      <c r="N29" s="171" t="str">
        <f t="shared" si="11"/>
        <v>No</v>
      </c>
      <c r="O29" s="66">
        <f t="shared" si="12"/>
        <v>0</v>
      </c>
      <c r="P29" s="118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20"/>
    </row>
    <row r="30" spans="1:31" ht="15.75">
      <c r="A30" s="66">
        <f t="shared" si="0"/>
        <v>0</v>
      </c>
      <c r="B30" s="172">
        <f t="shared" si="1"/>
      </c>
      <c r="C30" s="173" t="str">
        <f t="shared" si="2"/>
        <v>Suponer Hf</v>
      </c>
      <c r="D30" s="159">
        <v>0.5</v>
      </c>
      <c r="E30" s="160">
        <v>8</v>
      </c>
      <c r="F30" s="170">
        <f t="shared" si="3"/>
        <v>2.476930535624407</v>
      </c>
      <c r="G30" s="159">
        <f t="shared" si="4"/>
        <v>0.03242927866223985</v>
      </c>
      <c r="H30" s="161">
        <f t="shared" si="5"/>
        <v>0.0803250705667749</v>
      </c>
      <c r="I30" s="162" t="str">
        <f t="shared" si="6"/>
        <v>No</v>
      </c>
      <c r="J30" s="159">
        <f t="shared" si="7"/>
      </c>
      <c r="K30" s="159">
        <f t="shared" si="8"/>
      </c>
      <c r="L30" s="159">
        <f t="shared" si="9"/>
      </c>
      <c r="M30" s="163">
        <f t="shared" si="10"/>
      </c>
      <c r="N30" s="171">
        <f t="shared" si="11"/>
      </c>
      <c r="O30" s="66">
        <f t="shared" si="12"/>
        <v>0</v>
      </c>
      <c r="P30" s="118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20"/>
    </row>
    <row r="31" spans="1:31" ht="15.75">
      <c r="A31" s="66">
        <f t="shared" si="0"/>
        <v>0</v>
      </c>
      <c r="B31" s="172" t="str">
        <f t="shared" si="1"/>
        <v>Aumente el diámetro</v>
      </c>
      <c r="C31" s="173">
        <f t="shared" si="2"/>
      </c>
      <c r="D31" s="159">
        <f>IF(F30="","",IF(O30=1,"",IF(N30="Sí","",IF(C30="Suponer Hf",D30,IF(I30="No",IF(J30="",$E$17-$E$18,""),IF(L30="Sí",$E$17-$E$18-J30,""))))))</f>
        <v>0.5</v>
      </c>
      <c r="E31" s="160">
        <v>10</v>
      </c>
      <c r="F31" s="170">
        <f t="shared" si="3"/>
        <v>2.8496833169185325</v>
      </c>
      <c r="G31" s="159">
        <f t="shared" si="4"/>
        <v>0.05067074790974978</v>
      </c>
      <c r="H31" s="161">
        <f t="shared" si="5"/>
        <v>0.14439558497419855</v>
      </c>
      <c r="I31" s="162" t="str">
        <f t="shared" si="6"/>
        <v>Sí</v>
      </c>
      <c r="J31" s="159">
        <f t="shared" si="7"/>
        <v>1.779764960698898</v>
      </c>
      <c r="K31" s="159">
        <f t="shared" si="8"/>
        <v>2.7850932095796206</v>
      </c>
      <c r="L31" s="159" t="str">
        <f t="shared" si="9"/>
        <v>No</v>
      </c>
      <c r="M31" s="163">
        <f t="shared" si="10"/>
      </c>
      <c r="N31" s="171" t="str">
        <f t="shared" si="11"/>
        <v>No</v>
      </c>
      <c r="O31" s="66">
        <f t="shared" si="12"/>
        <v>0</v>
      </c>
      <c r="P31" s="118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20"/>
    </row>
    <row r="32" spans="1:31" ht="15.75">
      <c r="A32" s="66">
        <f t="shared" si="0"/>
        <v>0</v>
      </c>
      <c r="B32" s="172">
        <f t="shared" si="1"/>
      </c>
      <c r="C32" s="173" t="str">
        <f t="shared" si="2"/>
        <v>Suponer Hf</v>
      </c>
      <c r="D32" s="159">
        <v>0.48</v>
      </c>
      <c r="E32" s="160">
        <v>8</v>
      </c>
      <c r="F32" s="170">
        <f t="shared" si="3"/>
        <v>2.425838995669469</v>
      </c>
      <c r="G32" s="159">
        <f t="shared" si="4"/>
        <v>0.03242927866223985</v>
      </c>
      <c r="H32" s="161">
        <f t="shared" si="5"/>
        <v>0.07866820878029326</v>
      </c>
      <c r="I32" s="162" t="str">
        <f t="shared" si="6"/>
        <v>No</v>
      </c>
      <c r="J32" s="159">
        <f t="shared" si="7"/>
      </c>
      <c r="K32" s="159">
        <f t="shared" si="8"/>
      </c>
      <c r="L32" s="159">
        <f t="shared" si="9"/>
      </c>
      <c r="M32" s="163">
        <f t="shared" si="10"/>
      </c>
      <c r="N32" s="171">
        <f t="shared" si="11"/>
      </c>
      <c r="O32" s="66">
        <f t="shared" si="12"/>
        <v>0</v>
      </c>
      <c r="P32" s="118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20"/>
    </row>
    <row r="33" spans="1:31" ht="15.75">
      <c r="A33" s="66">
        <f t="shared" si="0"/>
        <v>0</v>
      </c>
      <c r="B33" s="172" t="str">
        <f t="shared" si="1"/>
        <v>Aumente el diámetro</v>
      </c>
      <c r="C33" s="173">
        <f t="shared" si="2"/>
      </c>
      <c r="D33" s="159">
        <f>IF(F32="","",IF(O32=1,"",IF(N32="Sí","",IF(C32="Suponer Hf",D32,IF(I32="No",IF(J32="",$E$17-$E$18,""),IF(L32="Sí",$E$17-$E$18-J32,""))))))</f>
        <v>0.48</v>
      </c>
      <c r="E33" s="160">
        <v>10</v>
      </c>
      <c r="F33" s="170">
        <f t="shared" si="3"/>
        <v>2.791040801721773</v>
      </c>
      <c r="G33" s="159">
        <f t="shared" si="4"/>
        <v>0.05067074790974978</v>
      </c>
      <c r="H33" s="161">
        <f t="shared" si="5"/>
        <v>0.14142412486986988</v>
      </c>
      <c r="I33" s="162" t="str">
        <f t="shared" si="6"/>
        <v>Sí</v>
      </c>
      <c r="J33" s="159">
        <f t="shared" si="7"/>
        <v>1.7072684839228127</v>
      </c>
      <c r="K33" s="159">
        <f t="shared" si="8"/>
        <v>2.801428207182901</v>
      </c>
      <c r="L33" s="159" t="str">
        <f t="shared" si="9"/>
        <v>Sí</v>
      </c>
      <c r="M33" s="163" t="str">
        <f t="shared" si="10"/>
        <v>Sí</v>
      </c>
      <c r="N33" s="171" t="str">
        <f t="shared" si="11"/>
        <v>No</v>
      </c>
      <c r="O33" s="66">
        <f t="shared" si="12"/>
        <v>0</v>
      </c>
      <c r="P33" s="118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20"/>
    </row>
    <row r="34" spans="1:31" ht="15.75">
      <c r="A34" s="66">
        <f t="shared" si="0"/>
        <v>0</v>
      </c>
      <c r="B34" s="172">
        <f t="shared" si="1"/>
      </c>
      <c r="C34" s="173">
        <f t="shared" si="2"/>
      </c>
      <c r="D34" s="159">
        <f>IF(F33="","",IF(O33=1,"",IF(N33="Sí","",IF(C33="Suponer Hf",D33,IF(I33="No",IF(J33="",$E$17-$E$18,""),IF(L33="Sí",$E$17-$E$18-J33,""))))))</f>
        <v>0.49273151607718746</v>
      </c>
      <c r="E34" s="160">
        <v>10</v>
      </c>
      <c r="F34" s="170">
        <f t="shared" si="3"/>
        <v>2.8285088643609173</v>
      </c>
      <c r="G34" s="159">
        <f t="shared" si="4"/>
        <v>0.05067074790974978</v>
      </c>
      <c r="H34" s="161">
        <f t="shared" si="5"/>
        <v>0.14332265962652466</v>
      </c>
      <c r="I34" s="162" t="str">
        <f t="shared" si="6"/>
        <v>Sí</v>
      </c>
      <c r="J34" s="159">
        <f t="shared" si="7"/>
      </c>
      <c r="K34" s="159">
        <f t="shared" si="8"/>
        <v>2.791040801721773</v>
      </c>
      <c r="L34" s="159" t="str">
        <f t="shared" si="9"/>
        <v>No</v>
      </c>
      <c r="M34" s="163">
        <f t="shared" si="10"/>
      </c>
      <c r="N34" s="171" t="str">
        <f t="shared" si="11"/>
        <v>No</v>
      </c>
      <c r="O34" s="66">
        <f t="shared" si="12"/>
        <v>0</v>
      </c>
      <c r="P34" s="118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20"/>
    </row>
    <row r="35" spans="1:31" ht="15.75">
      <c r="A35" s="66">
        <f t="shared" si="0"/>
        <v>0</v>
      </c>
      <c r="B35" s="172">
        <f t="shared" si="1"/>
      </c>
      <c r="C35" s="173" t="str">
        <f t="shared" si="2"/>
        <v>Suponer Hf</v>
      </c>
      <c r="D35" s="159">
        <v>0.49</v>
      </c>
      <c r="E35" s="160">
        <v>8</v>
      </c>
      <c r="F35" s="170">
        <f t="shared" si="3"/>
        <v>2.4515146360742155</v>
      </c>
      <c r="G35" s="159">
        <f t="shared" si="4"/>
        <v>0.03242927866223985</v>
      </c>
      <c r="H35" s="161">
        <f t="shared" si="5"/>
        <v>0.07950085127781026</v>
      </c>
      <c r="I35" s="162" t="str">
        <f t="shared" si="6"/>
        <v>No</v>
      </c>
      <c r="J35" s="159">
        <f t="shared" si="7"/>
      </c>
      <c r="K35" s="159">
        <f t="shared" si="8"/>
      </c>
      <c r="L35" s="159">
        <f t="shared" si="9"/>
      </c>
      <c r="M35" s="163">
        <f t="shared" si="10"/>
      </c>
      <c r="N35" s="171">
        <f t="shared" si="11"/>
      </c>
      <c r="O35" s="66">
        <f t="shared" si="12"/>
        <v>0</v>
      </c>
      <c r="P35" s="118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20"/>
    </row>
    <row r="36" spans="1:31" ht="15.75">
      <c r="A36" s="66">
        <f t="shared" si="0"/>
        <v>0</v>
      </c>
      <c r="B36" s="172" t="str">
        <f t="shared" si="1"/>
        <v>Aumente el diámetro</v>
      </c>
      <c r="C36" s="173">
        <f t="shared" si="2"/>
      </c>
      <c r="D36" s="159">
        <f>IF(F35="","",IF(O35=1,"",IF(N35="Sí","",IF(C35="Suponer Hf",D35,IF(I35="No",IF(J35="",$E$17-$E$18,""),IF(L35="Sí",$E$17-$E$18-J35,""))))))</f>
        <v>0.49</v>
      </c>
      <c r="E36" s="160">
        <v>10</v>
      </c>
      <c r="F36" s="170">
        <f t="shared" si="3"/>
        <v>2.8205112278663607</v>
      </c>
      <c r="G36" s="159">
        <f t="shared" si="4"/>
        <v>0.05067074790974978</v>
      </c>
      <c r="H36" s="161">
        <f t="shared" si="5"/>
        <v>0.14291741340383518</v>
      </c>
      <c r="I36" s="162" t="str">
        <f t="shared" si="6"/>
        <v>Sí</v>
      </c>
      <c r="J36" s="159">
        <f t="shared" si="7"/>
        <v>1.7435127126420429</v>
      </c>
      <c r="K36" s="159">
        <f t="shared" si="8"/>
        <v>2.7932726492455506</v>
      </c>
      <c r="L36" s="159" t="str">
        <f t="shared" si="9"/>
        <v>No</v>
      </c>
      <c r="M36" s="163">
        <f t="shared" si="10"/>
      </c>
      <c r="N36" s="171" t="str">
        <f t="shared" si="11"/>
        <v>No</v>
      </c>
      <c r="O36" s="66">
        <f t="shared" si="12"/>
        <v>0</v>
      </c>
      <c r="P36" s="118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20"/>
    </row>
    <row r="37" spans="1:31" ht="15.75">
      <c r="A37" s="66">
        <f t="shared" si="0"/>
        <v>0</v>
      </c>
      <c r="B37" s="172">
        <f t="shared" si="1"/>
      </c>
      <c r="C37" s="173" t="str">
        <f t="shared" si="2"/>
        <v>Suponer Hf</v>
      </c>
      <c r="D37" s="159">
        <v>0.483</v>
      </c>
      <c r="E37" s="160">
        <v>8</v>
      </c>
      <c r="F37" s="170">
        <f t="shared" si="3"/>
        <v>2.4335694364171765</v>
      </c>
      <c r="G37" s="159">
        <f t="shared" si="4"/>
        <v>0.03242927866223985</v>
      </c>
      <c r="H37" s="161">
        <f t="shared" si="5"/>
        <v>0.0789189013974826</v>
      </c>
      <c r="I37" s="162" t="str">
        <f t="shared" si="6"/>
        <v>No</v>
      </c>
      <c r="J37" s="159">
        <f t="shared" si="7"/>
      </c>
      <c r="K37" s="159">
        <f t="shared" si="8"/>
      </c>
      <c r="L37" s="159">
        <f t="shared" si="9"/>
      </c>
      <c r="M37" s="163">
        <f t="shared" si="10"/>
      </c>
      <c r="N37" s="171">
        <f t="shared" si="11"/>
      </c>
      <c r="O37" s="66">
        <f t="shared" si="12"/>
        <v>0</v>
      </c>
      <c r="P37" s="118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20"/>
    </row>
    <row r="38" spans="1:31" ht="15.75">
      <c r="A38" s="66">
        <f t="shared" si="0"/>
        <v>1</v>
      </c>
      <c r="B38" s="172" t="str">
        <f t="shared" si="1"/>
        <v>Aumente el diámetro</v>
      </c>
      <c r="C38" s="173">
        <f t="shared" si="2"/>
      </c>
      <c r="D38" s="159">
        <f aca="true" t="shared" si="13" ref="D38:D60">IF(F37="","",IF(O37=1,"",IF(N37="Sí","",IF(C37="Suponer Hf",D37,IF(I37="No",IF(J37="",$E$17-$E$18,""),IF(L37="Sí",$E$17-$E$18-J37,""))))))</f>
        <v>0.483</v>
      </c>
      <c r="E38" s="160">
        <v>10</v>
      </c>
      <c r="F38" s="170">
        <f t="shared" si="3"/>
        <v>2.7999138018282728</v>
      </c>
      <c r="G38" s="159">
        <f t="shared" si="4"/>
        <v>0.05067074790974978</v>
      </c>
      <c r="H38" s="161">
        <f t="shared" si="5"/>
        <v>0.1418737264214695</v>
      </c>
      <c r="I38" s="162" t="str">
        <f t="shared" si="6"/>
        <v>Sí</v>
      </c>
      <c r="J38" s="159">
        <f t="shared" si="7"/>
        <v>1.7181408960231572</v>
      </c>
      <c r="K38" s="159">
        <f t="shared" si="8"/>
        <v>2.7989840349503563</v>
      </c>
      <c r="L38" s="159" t="str">
        <f t="shared" si="9"/>
        <v>No</v>
      </c>
      <c r="M38" s="163">
        <f t="shared" si="10"/>
      </c>
      <c r="N38" s="171" t="str">
        <f t="shared" si="11"/>
        <v>Sí</v>
      </c>
      <c r="O38" s="66">
        <f t="shared" si="12"/>
        <v>1</v>
      </c>
      <c r="P38" s="118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20"/>
    </row>
    <row r="39" spans="1:31" ht="12.75">
      <c r="A39" s="66">
        <f t="shared" si="0"/>
      </c>
      <c r="B39" s="112">
        <f t="shared" si="1"/>
      </c>
      <c r="C39" s="53">
        <f t="shared" si="2"/>
      </c>
      <c r="D39" s="53">
        <f t="shared" si="13"/>
      </c>
      <c r="E39" s="67"/>
      <c r="F39" s="108">
        <f t="shared" si="3"/>
      </c>
      <c r="G39" s="53">
        <f t="shared" si="4"/>
      </c>
      <c r="H39" s="109">
        <f t="shared" si="5"/>
      </c>
      <c r="I39" s="110">
        <f t="shared" si="6"/>
      </c>
      <c r="J39" s="53">
        <f t="shared" si="7"/>
      </c>
      <c r="K39" s="53">
        <f t="shared" si="8"/>
      </c>
      <c r="L39" s="53">
        <f t="shared" si="9"/>
      </c>
      <c r="M39" s="111">
        <f t="shared" si="10"/>
      </c>
      <c r="N39" s="51">
        <f t="shared" si="11"/>
      </c>
      <c r="O39" s="66">
        <f t="shared" si="12"/>
      </c>
      <c r="P39" s="118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20"/>
    </row>
    <row r="40" spans="1:31" ht="12.75">
      <c r="A40" s="66">
        <f t="shared" si="0"/>
      </c>
      <c r="B40" s="112">
        <f t="shared" si="1"/>
      </c>
      <c r="C40" s="53">
        <f t="shared" si="2"/>
      </c>
      <c r="D40" s="53">
        <f t="shared" si="13"/>
      </c>
      <c r="E40" s="67"/>
      <c r="F40" s="108">
        <f t="shared" si="3"/>
      </c>
      <c r="G40" s="53">
        <f t="shared" si="4"/>
      </c>
      <c r="H40" s="109">
        <f t="shared" si="5"/>
      </c>
      <c r="I40" s="110">
        <f t="shared" si="6"/>
      </c>
      <c r="J40" s="53">
        <f t="shared" si="7"/>
      </c>
      <c r="K40" s="53">
        <f t="shared" si="8"/>
      </c>
      <c r="L40" s="53">
        <f t="shared" si="9"/>
      </c>
      <c r="M40" s="111">
        <f t="shared" si="10"/>
      </c>
      <c r="N40" s="51">
        <f t="shared" si="11"/>
      </c>
      <c r="O40" s="66">
        <f t="shared" si="12"/>
      </c>
      <c r="P40" s="118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20"/>
    </row>
    <row r="41" spans="1:31" ht="12.75">
      <c r="A41" s="66">
        <f t="shared" si="0"/>
      </c>
      <c r="B41" s="112">
        <f t="shared" si="1"/>
      </c>
      <c r="C41" s="53">
        <f t="shared" si="2"/>
      </c>
      <c r="D41" s="53">
        <f t="shared" si="13"/>
      </c>
      <c r="E41" s="67"/>
      <c r="F41" s="108">
        <f t="shared" si="3"/>
      </c>
      <c r="G41" s="53">
        <f t="shared" si="4"/>
      </c>
      <c r="H41" s="109">
        <f t="shared" si="5"/>
      </c>
      <c r="I41" s="110">
        <f t="shared" si="6"/>
      </c>
      <c r="J41" s="53">
        <f t="shared" si="7"/>
      </c>
      <c r="K41" s="53">
        <f t="shared" si="8"/>
      </c>
      <c r="L41" s="53">
        <f t="shared" si="9"/>
      </c>
      <c r="M41" s="111">
        <f t="shared" si="10"/>
      </c>
      <c r="N41" s="51">
        <f t="shared" si="11"/>
      </c>
      <c r="O41" s="66">
        <f t="shared" si="12"/>
      </c>
      <c r="P41" s="118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20"/>
    </row>
    <row r="42" spans="1:31" ht="12.75">
      <c r="A42" s="66">
        <f t="shared" si="0"/>
      </c>
      <c r="B42" s="112">
        <f t="shared" si="1"/>
      </c>
      <c r="C42" s="53">
        <f t="shared" si="2"/>
      </c>
      <c r="D42" s="53">
        <f t="shared" si="13"/>
      </c>
      <c r="E42" s="67"/>
      <c r="F42" s="108">
        <f t="shared" si="3"/>
      </c>
      <c r="G42" s="53">
        <f t="shared" si="4"/>
      </c>
      <c r="H42" s="109">
        <f t="shared" si="5"/>
      </c>
      <c r="I42" s="110">
        <f t="shared" si="6"/>
      </c>
      <c r="J42" s="53">
        <f t="shared" si="7"/>
      </c>
      <c r="K42" s="53">
        <f t="shared" si="8"/>
      </c>
      <c r="L42" s="53">
        <f t="shared" si="9"/>
      </c>
      <c r="M42" s="111">
        <f t="shared" si="10"/>
      </c>
      <c r="N42" s="51">
        <f t="shared" si="11"/>
      </c>
      <c r="O42" s="66">
        <f t="shared" si="12"/>
      </c>
      <c r="P42" s="118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20"/>
    </row>
    <row r="43" spans="1:31" ht="12.75">
      <c r="A43" s="66">
        <f t="shared" si="0"/>
      </c>
      <c r="B43" s="112">
        <f t="shared" si="1"/>
      </c>
      <c r="C43" s="53">
        <f t="shared" si="2"/>
      </c>
      <c r="D43" s="53">
        <f t="shared" si="13"/>
      </c>
      <c r="E43" s="67"/>
      <c r="F43" s="108">
        <f t="shared" si="3"/>
      </c>
      <c r="G43" s="53">
        <f t="shared" si="4"/>
      </c>
      <c r="H43" s="109">
        <f t="shared" si="5"/>
      </c>
      <c r="I43" s="110">
        <f t="shared" si="6"/>
      </c>
      <c r="J43" s="53">
        <f t="shared" si="7"/>
      </c>
      <c r="K43" s="53">
        <f t="shared" si="8"/>
      </c>
      <c r="L43" s="53">
        <f t="shared" si="9"/>
      </c>
      <c r="M43" s="111">
        <f t="shared" si="10"/>
      </c>
      <c r="N43" s="51">
        <f t="shared" si="11"/>
      </c>
      <c r="O43" s="66">
        <f t="shared" si="12"/>
      </c>
      <c r="P43" s="118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20"/>
    </row>
    <row r="44" spans="1:31" ht="12.75">
      <c r="A44" s="66">
        <f t="shared" si="0"/>
      </c>
      <c r="B44" s="112">
        <f t="shared" si="1"/>
      </c>
      <c r="C44" s="53">
        <f t="shared" si="2"/>
      </c>
      <c r="D44" s="53">
        <f t="shared" si="13"/>
      </c>
      <c r="E44" s="67"/>
      <c r="F44" s="108">
        <f t="shared" si="3"/>
      </c>
      <c r="G44" s="53">
        <f t="shared" si="4"/>
      </c>
      <c r="H44" s="109">
        <f t="shared" si="5"/>
      </c>
      <c r="I44" s="110">
        <f t="shared" si="6"/>
      </c>
      <c r="J44" s="53">
        <f t="shared" si="7"/>
      </c>
      <c r="K44" s="53">
        <f t="shared" si="8"/>
      </c>
      <c r="L44" s="53">
        <f t="shared" si="9"/>
      </c>
      <c r="M44" s="111">
        <f t="shared" si="10"/>
      </c>
      <c r="N44" s="51">
        <f t="shared" si="11"/>
      </c>
      <c r="O44" s="66">
        <f t="shared" si="12"/>
      </c>
      <c r="P44" s="118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20"/>
    </row>
    <row r="45" spans="1:31" ht="12.75">
      <c r="A45" s="66">
        <f t="shared" si="0"/>
      </c>
      <c r="B45" s="112">
        <f t="shared" si="1"/>
      </c>
      <c r="C45" s="53">
        <f t="shared" si="2"/>
      </c>
      <c r="D45" s="53">
        <f t="shared" si="13"/>
      </c>
      <c r="E45" s="67"/>
      <c r="F45" s="108">
        <f t="shared" si="3"/>
      </c>
      <c r="G45" s="53">
        <f t="shared" si="4"/>
      </c>
      <c r="H45" s="109">
        <f t="shared" si="5"/>
      </c>
      <c r="I45" s="110">
        <f t="shared" si="6"/>
      </c>
      <c r="J45" s="53">
        <f t="shared" si="7"/>
      </c>
      <c r="K45" s="53">
        <f t="shared" si="8"/>
      </c>
      <c r="L45" s="53">
        <f t="shared" si="9"/>
      </c>
      <c r="M45" s="111">
        <f t="shared" si="10"/>
      </c>
      <c r="N45" s="51">
        <f t="shared" si="11"/>
      </c>
      <c r="O45" s="66">
        <f t="shared" si="12"/>
      </c>
      <c r="P45" s="118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20"/>
    </row>
    <row r="46" spans="1:31" ht="12.75">
      <c r="A46" s="66">
        <f t="shared" si="0"/>
      </c>
      <c r="B46" s="112">
        <f t="shared" si="1"/>
      </c>
      <c r="C46" s="53">
        <f t="shared" si="2"/>
      </c>
      <c r="D46" s="53">
        <f t="shared" si="13"/>
      </c>
      <c r="E46" s="67"/>
      <c r="F46" s="108">
        <f t="shared" si="3"/>
      </c>
      <c r="G46" s="53">
        <f t="shared" si="4"/>
      </c>
      <c r="H46" s="109">
        <f t="shared" si="5"/>
      </c>
      <c r="I46" s="110">
        <f t="shared" si="6"/>
      </c>
      <c r="J46" s="53">
        <f t="shared" si="7"/>
      </c>
      <c r="K46" s="53">
        <f t="shared" si="8"/>
      </c>
      <c r="L46" s="53">
        <f t="shared" si="9"/>
      </c>
      <c r="M46" s="111">
        <f t="shared" si="10"/>
      </c>
      <c r="N46" s="51">
        <f t="shared" si="11"/>
      </c>
      <c r="O46" s="66">
        <f t="shared" si="12"/>
      </c>
      <c r="P46" s="118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20"/>
    </row>
    <row r="47" spans="1:31" ht="12.75">
      <c r="A47" s="66">
        <f t="shared" si="0"/>
      </c>
      <c r="B47" s="112">
        <f t="shared" si="1"/>
      </c>
      <c r="C47" s="53">
        <f t="shared" si="2"/>
      </c>
      <c r="D47" s="53">
        <f t="shared" si="13"/>
      </c>
      <c r="E47" s="67"/>
      <c r="F47" s="108">
        <f t="shared" si="3"/>
      </c>
      <c r="G47" s="53">
        <f t="shared" si="4"/>
      </c>
      <c r="H47" s="109">
        <f t="shared" si="5"/>
      </c>
      <c r="I47" s="110">
        <f t="shared" si="6"/>
      </c>
      <c r="J47" s="53">
        <f t="shared" si="7"/>
      </c>
      <c r="K47" s="53">
        <f t="shared" si="8"/>
      </c>
      <c r="L47" s="53">
        <f t="shared" si="9"/>
      </c>
      <c r="M47" s="111">
        <f t="shared" si="10"/>
      </c>
      <c r="N47" s="51">
        <f t="shared" si="11"/>
      </c>
      <c r="O47" s="66">
        <f t="shared" si="12"/>
      </c>
      <c r="P47" s="118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20"/>
    </row>
    <row r="48" spans="1:31" ht="12.75">
      <c r="A48" s="66">
        <f t="shared" si="0"/>
      </c>
      <c r="B48" s="112">
        <f t="shared" si="1"/>
      </c>
      <c r="C48" s="53">
        <f t="shared" si="2"/>
      </c>
      <c r="D48" s="53">
        <f t="shared" si="13"/>
      </c>
      <c r="E48" s="67"/>
      <c r="F48" s="108">
        <f t="shared" si="3"/>
      </c>
      <c r="G48" s="53">
        <f t="shared" si="4"/>
      </c>
      <c r="H48" s="109">
        <f t="shared" si="5"/>
      </c>
      <c r="I48" s="110">
        <f t="shared" si="6"/>
      </c>
      <c r="J48" s="53">
        <f t="shared" si="7"/>
      </c>
      <c r="K48" s="53">
        <f t="shared" si="8"/>
      </c>
      <c r="L48" s="53">
        <f t="shared" si="9"/>
      </c>
      <c r="M48" s="111">
        <f t="shared" si="10"/>
      </c>
      <c r="N48" s="51">
        <f t="shared" si="11"/>
      </c>
      <c r="O48" s="66">
        <f t="shared" si="12"/>
      </c>
      <c r="P48" s="118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20"/>
    </row>
    <row r="49" spans="1:31" ht="13.5" thickBot="1">
      <c r="A49" s="66">
        <f t="shared" si="0"/>
      </c>
      <c r="B49" s="112">
        <f t="shared" si="1"/>
      </c>
      <c r="C49" s="53">
        <f t="shared" si="2"/>
      </c>
      <c r="D49" s="53">
        <f t="shared" si="13"/>
      </c>
      <c r="E49" s="67"/>
      <c r="F49" s="108">
        <f t="shared" si="3"/>
      </c>
      <c r="G49" s="53">
        <f t="shared" si="4"/>
      </c>
      <c r="H49" s="109">
        <f t="shared" si="5"/>
      </c>
      <c r="I49" s="110">
        <f t="shared" si="6"/>
      </c>
      <c r="J49" s="53">
        <f t="shared" si="7"/>
      </c>
      <c r="K49" s="53">
        <f t="shared" si="8"/>
      </c>
      <c r="L49" s="53">
        <f t="shared" si="9"/>
      </c>
      <c r="M49" s="111">
        <f t="shared" si="10"/>
      </c>
      <c r="N49" s="51">
        <f t="shared" si="11"/>
      </c>
      <c r="O49" s="66">
        <f t="shared" si="12"/>
      </c>
      <c r="P49" s="121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3"/>
    </row>
    <row r="50" spans="1:15" ht="12.75">
      <c r="A50" s="66">
        <f t="shared" si="0"/>
      </c>
      <c r="B50" s="112">
        <f t="shared" si="1"/>
      </c>
      <c r="C50" s="53">
        <f t="shared" si="2"/>
      </c>
      <c r="D50" s="53">
        <f t="shared" si="13"/>
      </c>
      <c r="E50" s="67"/>
      <c r="F50" s="108">
        <f t="shared" si="3"/>
      </c>
      <c r="G50" s="53">
        <f t="shared" si="4"/>
      </c>
      <c r="H50" s="109">
        <f t="shared" si="5"/>
      </c>
      <c r="I50" s="110">
        <f t="shared" si="6"/>
      </c>
      <c r="J50" s="53">
        <f t="shared" si="7"/>
      </c>
      <c r="K50" s="53">
        <f t="shared" si="8"/>
      </c>
      <c r="L50" s="53">
        <f t="shared" si="9"/>
      </c>
      <c r="M50" s="111">
        <f t="shared" si="10"/>
      </c>
      <c r="N50" s="51">
        <f t="shared" si="11"/>
      </c>
      <c r="O50" s="66">
        <f t="shared" si="12"/>
      </c>
    </row>
    <row r="51" spans="1:15" ht="12.75">
      <c r="A51" s="66">
        <f t="shared" si="0"/>
      </c>
      <c r="B51" s="112">
        <f t="shared" si="1"/>
      </c>
      <c r="C51" s="53">
        <f t="shared" si="2"/>
      </c>
      <c r="D51" s="53">
        <f t="shared" si="13"/>
      </c>
      <c r="E51" s="67"/>
      <c r="F51" s="108">
        <f t="shared" si="3"/>
      </c>
      <c r="G51" s="53">
        <f t="shared" si="4"/>
      </c>
      <c r="H51" s="109">
        <f t="shared" si="5"/>
      </c>
      <c r="I51" s="110">
        <f t="shared" si="6"/>
      </c>
      <c r="J51" s="53">
        <f t="shared" si="7"/>
      </c>
      <c r="K51" s="53">
        <f t="shared" si="8"/>
      </c>
      <c r="L51" s="53">
        <f t="shared" si="9"/>
      </c>
      <c r="M51" s="111">
        <f t="shared" si="10"/>
      </c>
      <c r="N51" s="51">
        <f t="shared" si="11"/>
      </c>
      <c r="O51" s="66">
        <f t="shared" si="12"/>
      </c>
    </row>
    <row r="52" spans="1:15" ht="12.75">
      <c r="A52" s="66">
        <f t="shared" si="0"/>
      </c>
      <c r="B52" s="112">
        <f t="shared" si="1"/>
      </c>
      <c r="C52" s="53">
        <f t="shared" si="2"/>
      </c>
      <c r="D52" s="53">
        <f t="shared" si="13"/>
      </c>
      <c r="E52" s="67"/>
      <c r="F52" s="108">
        <f t="shared" si="3"/>
      </c>
      <c r="G52" s="53">
        <f t="shared" si="4"/>
      </c>
      <c r="H52" s="109">
        <f t="shared" si="5"/>
      </c>
      <c r="I52" s="110">
        <f t="shared" si="6"/>
      </c>
      <c r="J52" s="53">
        <f t="shared" si="7"/>
      </c>
      <c r="K52" s="53">
        <f t="shared" si="8"/>
      </c>
      <c r="L52" s="53">
        <f t="shared" si="9"/>
      </c>
      <c r="M52" s="111">
        <f t="shared" si="10"/>
      </c>
      <c r="N52" s="51">
        <f t="shared" si="11"/>
      </c>
      <c r="O52" s="66">
        <f t="shared" si="12"/>
      </c>
    </row>
    <row r="53" spans="1:15" ht="12.75">
      <c r="A53" s="66">
        <f t="shared" si="0"/>
      </c>
      <c r="B53" s="112">
        <f t="shared" si="1"/>
      </c>
      <c r="C53" s="53">
        <f t="shared" si="2"/>
      </c>
      <c r="D53" s="53">
        <f t="shared" si="13"/>
      </c>
      <c r="E53" s="67"/>
      <c r="F53" s="108">
        <f t="shared" si="3"/>
      </c>
      <c r="G53" s="53">
        <f t="shared" si="4"/>
      </c>
      <c r="H53" s="109">
        <f t="shared" si="5"/>
      </c>
      <c r="I53" s="110">
        <f t="shared" si="6"/>
      </c>
      <c r="J53" s="53">
        <f t="shared" si="7"/>
      </c>
      <c r="K53" s="53">
        <f t="shared" si="8"/>
      </c>
      <c r="L53" s="53">
        <f t="shared" si="9"/>
      </c>
      <c r="M53" s="111">
        <f t="shared" si="10"/>
      </c>
      <c r="N53" s="51">
        <f t="shared" si="11"/>
      </c>
      <c r="O53" s="66">
        <f t="shared" si="12"/>
      </c>
    </row>
    <row r="54" spans="1:15" ht="12.75">
      <c r="A54" s="66">
        <f t="shared" si="0"/>
      </c>
      <c r="B54" s="112">
        <f t="shared" si="1"/>
      </c>
      <c r="C54" s="53">
        <f t="shared" si="2"/>
      </c>
      <c r="D54" s="53">
        <f t="shared" si="13"/>
      </c>
      <c r="E54" s="67"/>
      <c r="F54" s="108">
        <f t="shared" si="3"/>
      </c>
      <c r="G54" s="53">
        <f t="shared" si="4"/>
      </c>
      <c r="H54" s="109">
        <f t="shared" si="5"/>
      </c>
      <c r="I54" s="110">
        <f t="shared" si="6"/>
      </c>
      <c r="J54" s="53">
        <f t="shared" si="7"/>
      </c>
      <c r="K54" s="53">
        <f t="shared" si="8"/>
      </c>
      <c r="L54" s="53">
        <f t="shared" si="9"/>
      </c>
      <c r="M54" s="111">
        <f t="shared" si="10"/>
      </c>
      <c r="N54" s="51">
        <f t="shared" si="11"/>
      </c>
      <c r="O54" s="66">
        <f t="shared" si="12"/>
      </c>
    </row>
    <row r="55" spans="1:15" ht="12.75">
      <c r="A55" s="66">
        <f t="shared" si="0"/>
      </c>
      <c r="B55" s="112">
        <f t="shared" si="1"/>
      </c>
      <c r="C55" s="53">
        <f t="shared" si="2"/>
      </c>
      <c r="D55" s="53">
        <f t="shared" si="13"/>
      </c>
      <c r="E55" s="67"/>
      <c r="F55" s="108">
        <f t="shared" si="3"/>
      </c>
      <c r="G55" s="53">
        <f t="shared" si="4"/>
      </c>
      <c r="H55" s="109">
        <f t="shared" si="5"/>
      </c>
      <c r="I55" s="110">
        <f t="shared" si="6"/>
      </c>
      <c r="J55" s="53">
        <f t="shared" si="7"/>
      </c>
      <c r="K55" s="53">
        <f t="shared" si="8"/>
      </c>
      <c r="L55" s="53">
        <f t="shared" si="9"/>
      </c>
      <c r="M55" s="111">
        <f t="shared" si="10"/>
      </c>
      <c r="N55" s="51">
        <f t="shared" si="11"/>
      </c>
      <c r="O55" s="66">
        <f t="shared" si="12"/>
      </c>
    </row>
    <row r="56" spans="1:15" ht="12.75">
      <c r="A56" s="66">
        <f t="shared" si="0"/>
      </c>
      <c r="B56" s="112">
        <f t="shared" si="1"/>
      </c>
      <c r="C56" s="53">
        <f t="shared" si="2"/>
      </c>
      <c r="D56" s="53">
        <f t="shared" si="13"/>
      </c>
      <c r="E56" s="67"/>
      <c r="F56" s="108">
        <f t="shared" si="3"/>
      </c>
      <c r="G56" s="53">
        <f t="shared" si="4"/>
      </c>
      <c r="H56" s="109">
        <f t="shared" si="5"/>
      </c>
      <c r="I56" s="110">
        <f t="shared" si="6"/>
      </c>
      <c r="J56" s="53">
        <f t="shared" si="7"/>
      </c>
      <c r="K56" s="53">
        <f t="shared" si="8"/>
      </c>
      <c r="L56" s="53">
        <f t="shared" si="9"/>
      </c>
      <c r="M56" s="111">
        <f t="shared" si="10"/>
      </c>
      <c r="N56" s="51">
        <f t="shared" si="11"/>
      </c>
      <c r="O56" s="66">
        <f t="shared" si="12"/>
      </c>
    </row>
    <row r="57" spans="1:15" ht="12.75">
      <c r="A57" s="66">
        <f t="shared" si="0"/>
      </c>
      <c r="B57" s="112">
        <f t="shared" si="1"/>
      </c>
      <c r="C57" s="53">
        <f t="shared" si="2"/>
      </c>
      <c r="D57" s="53">
        <f t="shared" si="13"/>
      </c>
      <c r="E57" s="67"/>
      <c r="F57" s="108">
        <f t="shared" si="3"/>
      </c>
      <c r="G57" s="53">
        <f t="shared" si="4"/>
      </c>
      <c r="H57" s="109">
        <f t="shared" si="5"/>
      </c>
      <c r="I57" s="110">
        <f t="shared" si="6"/>
      </c>
      <c r="J57" s="53">
        <f t="shared" si="7"/>
      </c>
      <c r="K57" s="53">
        <f t="shared" si="8"/>
      </c>
      <c r="L57" s="53">
        <f t="shared" si="9"/>
      </c>
      <c r="M57" s="111">
        <f t="shared" si="10"/>
      </c>
      <c r="N57" s="51">
        <f t="shared" si="11"/>
      </c>
      <c r="O57" s="66">
        <f t="shared" si="12"/>
      </c>
    </row>
    <row r="58" spans="1:15" ht="12.75">
      <c r="A58" s="66">
        <f t="shared" si="0"/>
      </c>
      <c r="B58" s="112">
        <f t="shared" si="1"/>
      </c>
      <c r="C58" s="53">
        <f t="shared" si="2"/>
      </c>
      <c r="D58" s="53">
        <f t="shared" si="13"/>
      </c>
      <c r="E58" s="67"/>
      <c r="F58" s="108">
        <f t="shared" si="3"/>
      </c>
      <c r="G58" s="53">
        <f t="shared" si="4"/>
      </c>
      <c r="H58" s="109">
        <f t="shared" si="5"/>
      </c>
      <c r="I58" s="110">
        <f t="shared" si="6"/>
      </c>
      <c r="J58" s="53">
        <f t="shared" si="7"/>
      </c>
      <c r="K58" s="53">
        <f t="shared" si="8"/>
      </c>
      <c r="L58" s="53">
        <f t="shared" si="9"/>
      </c>
      <c r="M58" s="111">
        <f t="shared" si="10"/>
      </c>
      <c r="N58" s="51">
        <f t="shared" si="11"/>
      </c>
      <c r="O58" s="66">
        <f t="shared" si="12"/>
      </c>
    </row>
    <row r="59" spans="1:15" ht="12.75">
      <c r="A59" s="66">
        <f t="shared" si="0"/>
      </c>
      <c r="B59" s="112">
        <f t="shared" si="1"/>
      </c>
      <c r="C59" s="53">
        <f t="shared" si="2"/>
      </c>
      <c r="D59" s="53">
        <f t="shared" si="13"/>
      </c>
      <c r="E59" s="67"/>
      <c r="F59" s="108">
        <f t="shared" si="3"/>
      </c>
      <c r="G59" s="53">
        <f t="shared" si="4"/>
      </c>
      <c r="H59" s="109">
        <f t="shared" si="5"/>
      </c>
      <c r="I59" s="110">
        <f t="shared" si="6"/>
      </c>
      <c r="J59" s="53">
        <f t="shared" si="7"/>
      </c>
      <c r="K59" s="53">
        <f t="shared" si="8"/>
      </c>
      <c r="L59" s="53">
        <f t="shared" si="9"/>
      </c>
      <c r="M59" s="111">
        <f t="shared" si="10"/>
      </c>
      <c r="N59" s="51">
        <f t="shared" si="11"/>
      </c>
      <c r="O59" s="66">
        <f t="shared" si="12"/>
      </c>
    </row>
    <row r="60" spans="1:15" ht="12.75">
      <c r="A60" s="66">
        <f t="shared" si="0"/>
      </c>
      <c r="B60" s="112">
        <f t="shared" si="1"/>
      </c>
      <c r="C60" s="53">
        <f t="shared" si="2"/>
      </c>
      <c r="D60" s="53">
        <f t="shared" si="13"/>
      </c>
      <c r="E60" s="67"/>
      <c r="F60" s="108">
        <f t="shared" si="3"/>
      </c>
      <c r="G60" s="53">
        <f t="shared" si="4"/>
      </c>
      <c r="H60" s="109">
        <f t="shared" si="5"/>
      </c>
      <c r="I60" s="110">
        <f t="shared" si="6"/>
      </c>
      <c r="J60" s="53">
        <f t="shared" si="7"/>
      </c>
      <c r="K60" s="53">
        <f t="shared" si="8"/>
      </c>
      <c r="L60" s="53">
        <f t="shared" si="9"/>
      </c>
      <c r="M60" s="111">
        <f t="shared" si="10"/>
      </c>
      <c r="N60" s="51">
        <f t="shared" si="11"/>
      </c>
      <c r="O60" s="66">
        <f t="shared" si="12"/>
      </c>
    </row>
    <row r="61" spans="3:14" ht="12.75">
      <c r="C61" s="66"/>
      <c r="D61" s="109"/>
      <c r="E61" s="113"/>
      <c r="F61" s="108"/>
      <c r="G61" s="53"/>
      <c r="H61" s="109"/>
      <c r="I61" s="110"/>
      <c r="J61" s="53"/>
      <c r="K61" s="53"/>
      <c r="L61" s="53"/>
      <c r="M61" s="69"/>
      <c r="N61" s="111">
        <f aca="true" t="shared" si="14" ref="N61:N103">IF(D61="","",IF(I61="No","",IF(ABS(D61-D60)&lt;=$E$22,"Sí","No")))</f>
      </c>
    </row>
    <row r="62" spans="3:14" ht="12.75">
      <c r="C62" s="66"/>
      <c r="D62" s="109"/>
      <c r="E62" s="113"/>
      <c r="F62" s="108"/>
      <c r="G62" s="53"/>
      <c r="H62" s="109"/>
      <c r="I62" s="110"/>
      <c r="J62" s="53"/>
      <c r="K62" s="53"/>
      <c r="L62" s="53"/>
      <c r="M62" s="69"/>
      <c r="N62" s="111">
        <f t="shared" si="14"/>
      </c>
    </row>
    <row r="63" spans="3:14" ht="12.75">
      <c r="C63" s="66"/>
      <c r="D63" s="109"/>
      <c r="E63" s="113"/>
      <c r="F63" s="108"/>
      <c r="G63" s="53"/>
      <c r="H63" s="109"/>
      <c r="I63" s="110"/>
      <c r="J63" s="53"/>
      <c r="K63" s="53"/>
      <c r="L63" s="53"/>
      <c r="M63" s="69"/>
      <c r="N63" s="111">
        <f t="shared" si="14"/>
      </c>
    </row>
    <row r="64" spans="3:14" ht="12.75">
      <c r="C64" s="66"/>
      <c r="D64" s="109"/>
      <c r="E64" s="113"/>
      <c r="F64" s="108"/>
      <c r="G64" s="53"/>
      <c r="H64" s="109"/>
      <c r="I64" s="110"/>
      <c r="J64" s="53"/>
      <c r="K64" s="53"/>
      <c r="L64" s="53"/>
      <c r="M64" s="69"/>
      <c r="N64" s="111">
        <f t="shared" si="14"/>
      </c>
    </row>
    <row r="65" spans="3:14" ht="12.75">
      <c r="C65" s="66"/>
      <c r="D65" s="109"/>
      <c r="E65" s="113"/>
      <c r="F65" s="108"/>
      <c r="G65" s="53"/>
      <c r="H65" s="109"/>
      <c r="I65" s="110"/>
      <c r="J65" s="53"/>
      <c r="K65" s="53"/>
      <c r="L65" s="53"/>
      <c r="M65" s="69"/>
      <c r="N65" s="111">
        <f t="shared" si="14"/>
      </c>
    </row>
    <row r="66" spans="3:14" ht="12.75">
      <c r="C66" s="66"/>
      <c r="D66" s="109"/>
      <c r="E66" s="113"/>
      <c r="F66" s="108"/>
      <c r="G66" s="53"/>
      <c r="H66" s="109"/>
      <c r="I66" s="110"/>
      <c r="J66" s="53"/>
      <c r="K66" s="53"/>
      <c r="L66" s="53"/>
      <c r="M66" s="69"/>
      <c r="N66" s="111">
        <f t="shared" si="14"/>
      </c>
    </row>
    <row r="67" spans="3:14" ht="12.75">
      <c r="C67" s="66"/>
      <c r="D67" s="109"/>
      <c r="E67" s="113"/>
      <c r="F67" s="108"/>
      <c r="G67" s="53"/>
      <c r="H67" s="109"/>
      <c r="I67" s="110"/>
      <c r="J67" s="53"/>
      <c r="K67" s="53"/>
      <c r="L67" s="53"/>
      <c r="M67" s="69"/>
      <c r="N67" s="111">
        <f t="shared" si="14"/>
      </c>
    </row>
    <row r="68" spans="3:14" ht="12.75">
      <c r="C68" s="66"/>
      <c r="D68" s="109"/>
      <c r="E68" s="113"/>
      <c r="F68" s="108"/>
      <c r="G68" s="53"/>
      <c r="H68" s="109"/>
      <c r="I68" s="110"/>
      <c r="J68" s="53"/>
      <c r="K68" s="53"/>
      <c r="L68" s="53"/>
      <c r="M68" s="69"/>
      <c r="N68" s="111">
        <f t="shared" si="14"/>
      </c>
    </row>
    <row r="69" spans="3:14" ht="12.75">
      <c r="C69" s="66"/>
      <c r="D69" s="109"/>
      <c r="E69" s="113"/>
      <c r="F69" s="108"/>
      <c r="G69" s="53"/>
      <c r="H69" s="109"/>
      <c r="I69" s="110"/>
      <c r="J69" s="53"/>
      <c r="K69" s="53"/>
      <c r="L69" s="53"/>
      <c r="M69" s="69"/>
      <c r="N69" s="111">
        <f t="shared" si="14"/>
      </c>
    </row>
    <row r="70" spans="3:14" ht="12.75">
      <c r="C70" s="66"/>
      <c r="D70" s="109"/>
      <c r="E70" s="113"/>
      <c r="F70" s="108"/>
      <c r="G70" s="53"/>
      <c r="H70" s="109"/>
      <c r="I70" s="110"/>
      <c r="J70" s="53"/>
      <c r="K70" s="53"/>
      <c r="L70" s="53"/>
      <c r="M70" s="69"/>
      <c r="N70" s="111">
        <f t="shared" si="14"/>
      </c>
    </row>
    <row r="71" spans="3:14" ht="12.75">
      <c r="C71" s="66"/>
      <c r="D71" s="109"/>
      <c r="E71" s="113"/>
      <c r="F71" s="108"/>
      <c r="G71" s="53"/>
      <c r="H71" s="109"/>
      <c r="I71" s="110"/>
      <c r="J71" s="53"/>
      <c r="K71" s="53"/>
      <c r="L71" s="53"/>
      <c r="M71" s="69"/>
      <c r="N71" s="111">
        <f t="shared" si="14"/>
      </c>
    </row>
    <row r="72" spans="3:14" ht="12.75">
      <c r="C72" s="66"/>
      <c r="D72" s="109"/>
      <c r="E72" s="113"/>
      <c r="F72" s="108"/>
      <c r="G72" s="53"/>
      <c r="H72" s="109"/>
      <c r="I72" s="110"/>
      <c r="J72" s="53"/>
      <c r="K72" s="53"/>
      <c r="L72" s="53"/>
      <c r="M72" s="69"/>
      <c r="N72" s="111">
        <f t="shared" si="14"/>
      </c>
    </row>
    <row r="73" spans="3:14" ht="12.75">
      <c r="C73" s="66"/>
      <c r="D73" s="109"/>
      <c r="E73" s="113"/>
      <c r="F73" s="108"/>
      <c r="G73" s="53"/>
      <c r="H73" s="109"/>
      <c r="I73" s="110"/>
      <c r="J73" s="53"/>
      <c r="K73" s="53"/>
      <c r="L73" s="53"/>
      <c r="M73" s="69"/>
      <c r="N73" s="111">
        <f t="shared" si="14"/>
      </c>
    </row>
    <row r="74" spans="3:14" ht="12.75">
      <c r="C74" s="66"/>
      <c r="D74" s="109"/>
      <c r="E74" s="113"/>
      <c r="F74" s="108"/>
      <c r="G74" s="53"/>
      <c r="H74" s="109"/>
      <c r="I74" s="110"/>
      <c r="J74" s="53"/>
      <c r="K74" s="53"/>
      <c r="L74" s="53"/>
      <c r="M74" s="69"/>
      <c r="N74" s="111">
        <f t="shared" si="14"/>
      </c>
    </row>
    <row r="75" spans="3:14" ht="12.75">
      <c r="C75" s="66"/>
      <c r="D75" s="109"/>
      <c r="E75" s="113"/>
      <c r="F75" s="108"/>
      <c r="G75" s="53"/>
      <c r="H75" s="109"/>
      <c r="I75" s="110"/>
      <c r="J75" s="53"/>
      <c r="K75" s="53"/>
      <c r="L75" s="53"/>
      <c r="M75" s="69"/>
      <c r="N75" s="111">
        <f t="shared" si="14"/>
      </c>
    </row>
    <row r="76" spans="3:14" ht="12.75">
      <c r="C76" s="66"/>
      <c r="D76" s="109"/>
      <c r="E76" s="113"/>
      <c r="F76" s="108"/>
      <c r="G76" s="53"/>
      <c r="H76" s="109"/>
      <c r="I76" s="110"/>
      <c r="J76" s="53"/>
      <c r="K76" s="53"/>
      <c r="L76" s="53"/>
      <c r="M76" s="69"/>
      <c r="N76" s="111">
        <f t="shared" si="14"/>
      </c>
    </row>
    <row r="77" spans="3:14" ht="12.75">
      <c r="C77" s="66"/>
      <c r="D77" s="109"/>
      <c r="E77" s="113"/>
      <c r="F77" s="108"/>
      <c r="G77" s="53"/>
      <c r="H77" s="109"/>
      <c r="I77" s="110"/>
      <c r="J77" s="53"/>
      <c r="K77" s="53"/>
      <c r="L77" s="53"/>
      <c r="M77" s="69"/>
      <c r="N77" s="111">
        <f t="shared" si="14"/>
      </c>
    </row>
    <row r="78" spans="3:14" ht="12.75">
      <c r="C78" s="66"/>
      <c r="D78" s="109"/>
      <c r="E78" s="113"/>
      <c r="F78" s="108"/>
      <c r="G78" s="53"/>
      <c r="H78" s="109"/>
      <c r="I78" s="110"/>
      <c r="J78" s="53"/>
      <c r="K78" s="53"/>
      <c r="L78" s="53"/>
      <c r="M78" s="69"/>
      <c r="N78" s="111">
        <f t="shared" si="14"/>
      </c>
    </row>
    <row r="79" spans="3:14" ht="12.75">
      <c r="C79" s="66"/>
      <c r="D79" s="109"/>
      <c r="E79" s="113"/>
      <c r="F79" s="108"/>
      <c r="G79" s="53"/>
      <c r="H79" s="109"/>
      <c r="I79" s="110"/>
      <c r="J79" s="53"/>
      <c r="K79" s="53"/>
      <c r="L79" s="53"/>
      <c r="M79" s="69"/>
      <c r="N79" s="111">
        <f t="shared" si="14"/>
      </c>
    </row>
    <row r="80" spans="3:14" ht="12.75">
      <c r="C80" s="66"/>
      <c r="D80" s="109"/>
      <c r="E80" s="113"/>
      <c r="F80" s="108"/>
      <c r="G80" s="53"/>
      <c r="H80" s="109"/>
      <c r="I80" s="110"/>
      <c r="J80" s="53"/>
      <c r="K80" s="53"/>
      <c r="L80" s="53"/>
      <c r="M80" s="69"/>
      <c r="N80" s="111">
        <f t="shared" si="14"/>
      </c>
    </row>
    <row r="81" spans="3:14" ht="12.75">
      <c r="C81" s="66"/>
      <c r="D81" s="109"/>
      <c r="E81" s="113"/>
      <c r="F81" s="108"/>
      <c r="G81" s="53"/>
      <c r="H81" s="109"/>
      <c r="I81" s="110"/>
      <c r="J81" s="53"/>
      <c r="K81" s="53"/>
      <c r="L81" s="53"/>
      <c r="M81" s="69"/>
      <c r="N81" s="111">
        <f t="shared" si="14"/>
      </c>
    </row>
    <row r="82" spans="3:14" ht="12.75">
      <c r="C82" s="66"/>
      <c r="D82" s="109"/>
      <c r="E82" s="113"/>
      <c r="F82" s="108"/>
      <c r="G82" s="53"/>
      <c r="H82" s="109"/>
      <c r="I82" s="110"/>
      <c r="J82" s="53"/>
      <c r="K82" s="53"/>
      <c r="L82" s="53"/>
      <c r="M82" s="69"/>
      <c r="N82" s="111">
        <f t="shared" si="14"/>
      </c>
    </row>
    <row r="83" spans="3:14" ht="12.75">
      <c r="C83" s="66"/>
      <c r="D83" s="109"/>
      <c r="E83" s="113"/>
      <c r="F83" s="108"/>
      <c r="G83" s="53"/>
      <c r="H83" s="109"/>
      <c r="I83" s="110"/>
      <c r="J83" s="53"/>
      <c r="K83" s="53"/>
      <c r="L83" s="53"/>
      <c r="M83" s="69"/>
      <c r="N83" s="111">
        <f t="shared" si="14"/>
      </c>
    </row>
    <row r="84" spans="3:14" ht="12.75">
      <c r="C84" s="66"/>
      <c r="D84" s="109"/>
      <c r="E84" s="113"/>
      <c r="F84" s="108"/>
      <c r="G84" s="53"/>
      <c r="H84" s="109"/>
      <c r="I84" s="110"/>
      <c r="J84" s="53"/>
      <c r="K84" s="53"/>
      <c r="L84" s="53"/>
      <c r="M84" s="69"/>
      <c r="N84" s="111">
        <f t="shared" si="14"/>
      </c>
    </row>
    <row r="85" spans="3:14" ht="12.75">
      <c r="C85" s="66"/>
      <c r="D85" s="109"/>
      <c r="E85" s="113"/>
      <c r="F85" s="108"/>
      <c r="G85" s="53"/>
      <c r="H85" s="109"/>
      <c r="I85" s="110"/>
      <c r="J85" s="53"/>
      <c r="K85" s="53"/>
      <c r="L85" s="53"/>
      <c r="M85" s="69"/>
      <c r="N85" s="111">
        <f t="shared" si="14"/>
      </c>
    </row>
    <row r="86" spans="3:14" ht="12.75">
      <c r="C86" s="66"/>
      <c r="D86" s="109"/>
      <c r="E86" s="113"/>
      <c r="F86" s="108"/>
      <c r="G86" s="53"/>
      <c r="H86" s="109"/>
      <c r="I86" s="110"/>
      <c r="J86" s="53"/>
      <c r="K86" s="53"/>
      <c r="L86" s="53"/>
      <c r="M86" s="69"/>
      <c r="N86" s="111">
        <f t="shared" si="14"/>
      </c>
    </row>
    <row r="87" spans="3:14" ht="12.75">
      <c r="C87" s="66"/>
      <c r="D87" s="109"/>
      <c r="E87" s="113"/>
      <c r="F87" s="108"/>
      <c r="G87" s="53"/>
      <c r="H87" s="109"/>
      <c r="I87" s="110"/>
      <c r="J87" s="53"/>
      <c r="K87" s="53"/>
      <c r="L87" s="53"/>
      <c r="M87" s="69"/>
      <c r="N87" s="111">
        <f t="shared" si="14"/>
      </c>
    </row>
    <row r="88" spans="3:14" ht="12.75">
      <c r="C88" s="66"/>
      <c r="D88" s="109"/>
      <c r="E88" s="113"/>
      <c r="F88" s="108"/>
      <c r="G88" s="53"/>
      <c r="H88" s="109"/>
      <c r="I88" s="110"/>
      <c r="J88" s="53"/>
      <c r="K88" s="53"/>
      <c r="L88" s="53"/>
      <c r="M88" s="69"/>
      <c r="N88" s="111">
        <f t="shared" si="14"/>
      </c>
    </row>
    <row r="89" spans="3:14" ht="12.75">
      <c r="C89" s="66"/>
      <c r="D89" s="109"/>
      <c r="E89" s="113"/>
      <c r="F89" s="108"/>
      <c r="G89" s="53"/>
      <c r="H89" s="109"/>
      <c r="I89" s="110"/>
      <c r="J89" s="53"/>
      <c r="K89" s="53"/>
      <c r="L89" s="53"/>
      <c r="M89" s="69"/>
      <c r="N89" s="111">
        <f t="shared" si="14"/>
      </c>
    </row>
    <row r="90" spans="3:14" ht="12.75">
      <c r="C90" s="66"/>
      <c r="D90" s="109"/>
      <c r="E90" s="113"/>
      <c r="F90" s="108"/>
      <c r="G90" s="53"/>
      <c r="H90" s="109"/>
      <c r="I90" s="110"/>
      <c r="J90" s="53"/>
      <c r="K90" s="53"/>
      <c r="L90" s="53"/>
      <c r="M90" s="69"/>
      <c r="N90" s="111">
        <f t="shared" si="14"/>
      </c>
    </row>
    <row r="91" spans="3:14" ht="12.75">
      <c r="C91" s="66"/>
      <c r="D91" s="109"/>
      <c r="E91" s="113"/>
      <c r="F91" s="108"/>
      <c r="G91" s="53"/>
      <c r="H91" s="109"/>
      <c r="I91" s="110"/>
      <c r="J91" s="53"/>
      <c r="K91" s="53"/>
      <c r="L91" s="53"/>
      <c r="M91" s="69"/>
      <c r="N91" s="111">
        <f t="shared" si="14"/>
      </c>
    </row>
    <row r="92" spans="3:14" ht="12.75">
      <c r="C92" s="66"/>
      <c r="D92" s="109"/>
      <c r="E92" s="113"/>
      <c r="F92" s="108"/>
      <c r="G92" s="53"/>
      <c r="H92" s="109"/>
      <c r="I92" s="110"/>
      <c r="J92" s="53"/>
      <c r="K92" s="53"/>
      <c r="L92" s="53"/>
      <c r="M92" s="69"/>
      <c r="N92" s="111">
        <f t="shared" si="14"/>
      </c>
    </row>
    <row r="93" spans="3:14" ht="12.75">
      <c r="C93" s="66"/>
      <c r="D93" s="109"/>
      <c r="E93" s="113"/>
      <c r="F93" s="108"/>
      <c r="G93" s="53"/>
      <c r="H93" s="109"/>
      <c r="I93" s="110"/>
      <c r="J93" s="53"/>
      <c r="K93" s="53"/>
      <c r="L93" s="53"/>
      <c r="M93" s="69"/>
      <c r="N93" s="111">
        <f t="shared" si="14"/>
      </c>
    </row>
    <row r="94" spans="3:14" ht="12.75">
      <c r="C94" s="66"/>
      <c r="D94" s="109"/>
      <c r="E94" s="113"/>
      <c r="F94" s="108"/>
      <c r="G94" s="53"/>
      <c r="H94" s="109"/>
      <c r="I94" s="110"/>
      <c r="J94" s="53"/>
      <c r="K94" s="53"/>
      <c r="L94" s="53"/>
      <c r="M94" s="69"/>
      <c r="N94" s="111">
        <f t="shared" si="14"/>
      </c>
    </row>
    <row r="95" spans="3:14" ht="12.75">
      <c r="C95" s="66"/>
      <c r="D95" s="109"/>
      <c r="E95" s="113"/>
      <c r="F95" s="108"/>
      <c r="G95" s="53"/>
      <c r="H95" s="109"/>
      <c r="I95" s="110"/>
      <c r="J95" s="53"/>
      <c r="K95" s="53"/>
      <c r="L95" s="53"/>
      <c r="M95" s="69"/>
      <c r="N95" s="111">
        <f t="shared" si="14"/>
      </c>
    </row>
    <row r="96" spans="3:14" ht="12.75">
      <c r="C96" s="66"/>
      <c r="D96" s="109"/>
      <c r="E96" s="113"/>
      <c r="F96" s="108"/>
      <c r="G96" s="53"/>
      <c r="H96" s="109"/>
      <c r="I96" s="110"/>
      <c r="J96" s="53"/>
      <c r="K96" s="53"/>
      <c r="L96" s="53"/>
      <c r="M96" s="69"/>
      <c r="N96" s="111">
        <f t="shared" si="14"/>
      </c>
    </row>
    <row r="97" spans="3:14" ht="12.75">
      <c r="C97" s="66"/>
      <c r="D97" s="109"/>
      <c r="E97" s="113"/>
      <c r="F97" s="108"/>
      <c r="G97" s="53"/>
      <c r="H97" s="109"/>
      <c r="I97" s="110"/>
      <c r="J97" s="53"/>
      <c r="K97" s="53"/>
      <c r="L97" s="53"/>
      <c r="M97" s="69"/>
      <c r="N97" s="111">
        <f t="shared" si="14"/>
      </c>
    </row>
    <row r="98" spans="3:14" ht="12.75">
      <c r="C98" s="66"/>
      <c r="D98" s="109"/>
      <c r="E98" s="113"/>
      <c r="F98" s="108"/>
      <c r="G98" s="53"/>
      <c r="H98" s="109"/>
      <c r="I98" s="110"/>
      <c r="J98" s="53"/>
      <c r="K98" s="53"/>
      <c r="L98" s="53"/>
      <c r="M98" s="69"/>
      <c r="N98" s="111">
        <f t="shared" si="14"/>
      </c>
    </row>
    <row r="99" spans="3:14" ht="12.75">
      <c r="C99" s="66"/>
      <c r="D99" s="109"/>
      <c r="E99" s="113"/>
      <c r="F99" s="108"/>
      <c r="G99" s="53"/>
      <c r="H99" s="109"/>
      <c r="I99" s="110"/>
      <c r="J99" s="53"/>
      <c r="K99" s="53"/>
      <c r="L99" s="53"/>
      <c r="M99" s="69"/>
      <c r="N99" s="111">
        <f t="shared" si="14"/>
      </c>
    </row>
    <row r="100" spans="3:14" ht="12.75">
      <c r="C100" s="66"/>
      <c r="D100" s="109"/>
      <c r="E100" s="113"/>
      <c r="F100" s="108"/>
      <c r="G100" s="53"/>
      <c r="H100" s="109"/>
      <c r="I100" s="110"/>
      <c r="J100" s="53"/>
      <c r="K100" s="53"/>
      <c r="L100" s="53"/>
      <c r="M100" s="69"/>
      <c r="N100" s="111">
        <f t="shared" si="14"/>
      </c>
    </row>
    <row r="101" spans="3:14" ht="12.75">
      <c r="C101" s="66"/>
      <c r="D101" s="109"/>
      <c r="E101" s="113"/>
      <c r="F101" s="108"/>
      <c r="G101" s="53"/>
      <c r="H101" s="109"/>
      <c r="I101" s="110"/>
      <c r="J101" s="53"/>
      <c r="K101" s="53"/>
      <c r="L101" s="53"/>
      <c r="M101" s="69"/>
      <c r="N101" s="111">
        <f t="shared" si="14"/>
      </c>
    </row>
    <row r="102" spans="3:14" ht="12.75">
      <c r="C102" s="66"/>
      <c r="D102" s="109"/>
      <c r="E102" s="113"/>
      <c r="F102" s="108"/>
      <c r="G102" s="53"/>
      <c r="H102" s="109"/>
      <c r="I102" s="110"/>
      <c r="J102" s="53"/>
      <c r="K102" s="53"/>
      <c r="L102" s="53"/>
      <c r="M102" s="69"/>
      <c r="N102" s="111">
        <f t="shared" si="14"/>
      </c>
    </row>
    <row r="103" spans="3:14" ht="12.75">
      <c r="C103" s="66"/>
      <c r="N103" s="111">
        <f t="shared" si="14"/>
      </c>
    </row>
  </sheetData>
  <mergeCells count="11">
    <mergeCell ref="K9:M9"/>
    <mergeCell ref="D10:F10"/>
    <mergeCell ref="D14:F14"/>
    <mergeCell ref="A1:M2"/>
    <mergeCell ref="D4:F4"/>
    <mergeCell ref="H4:I4"/>
    <mergeCell ref="D5:F5"/>
    <mergeCell ref="D16:F16"/>
    <mergeCell ref="D8:F8"/>
    <mergeCell ref="D19:F19"/>
    <mergeCell ref="D21:F21"/>
  </mergeCells>
  <conditionalFormatting sqref="L10:L14">
    <cfRule type="cellIs" priority="1" dxfId="0" operator="greaterThan" stopIfTrue="1">
      <formula>0</formula>
    </cfRule>
  </conditionalFormatting>
  <printOptions/>
  <pageMargins left="0.75" right="0.75" top="1" bottom="1" header="0" footer="0"/>
  <pageSetup horizontalDpi="300" verticalDpi="300" orientation="portrait" r:id="rId4"/>
  <drawing r:id="rId3"/>
  <legacyDrawing r:id="rId2"/>
  <oleObjects>
    <oleObject progId="Equation.3" shapeId="865513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zoomScale="75" zoomScaleNormal="75" workbookViewId="0" topLeftCell="B1">
      <selection activeCell="J3" sqref="J3"/>
    </sheetView>
  </sheetViews>
  <sheetFormatPr defaultColWidth="11.421875" defaultRowHeight="19.5" customHeight="1"/>
  <cols>
    <col min="1" max="16384" width="20.7109375" style="236" customWidth="1"/>
  </cols>
  <sheetData>
    <row r="1" spans="1:12" ht="19.5" customHeight="1">
      <c r="A1" s="305" t="s">
        <v>80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1:12" ht="19.5" customHeight="1" thickBot="1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</row>
    <row r="3" spans="1:10" ht="19.5" customHeight="1" thickBot="1" thickTop="1">
      <c r="A3" s="237"/>
      <c r="B3" s="237"/>
      <c r="C3" s="237"/>
      <c r="D3" s="237"/>
      <c r="E3" s="237"/>
      <c r="F3" s="237"/>
      <c r="G3" s="237"/>
      <c r="H3" s="237"/>
      <c r="I3" s="237"/>
      <c r="J3" s="237"/>
    </row>
    <row r="4" spans="2:4" ht="19.5" customHeight="1" thickBot="1">
      <c r="B4" s="302" t="s">
        <v>0</v>
      </c>
      <c r="C4" s="303"/>
      <c r="D4" s="304"/>
    </row>
    <row r="5" spans="2:4" ht="19.5" customHeight="1" thickBot="1">
      <c r="B5" s="299" t="s">
        <v>12</v>
      </c>
      <c r="C5" s="300"/>
      <c r="D5" s="301"/>
    </row>
    <row r="6" spans="2:4" ht="19.5" customHeight="1">
      <c r="B6" s="238" t="s">
        <v>26</v>
      </c>
      <c r="C6" s="239">
        <v>1.2</v>
      </c>
      <c r="D6" s="240" t="s">
        <v>7</v>
      </c>
    </row>
    <row r="7" spans="2:4" ht="19.5" customHeight="1" thickBot="1">
      <c r="B7" s="241" t="s">
        <v>2</v>
      </c>
      <c r="C7" s="242">
        <v>2800</v>
      </c>
      <c r="D7" s="243" t="s">
        <v>7</v>
      </c>
    </row>
    <row r="8" spans="2:8" ht="19.5" customHeight="1" thickBot="1">
      <c r="B8" s="299" t="s">
        <v>13</v>
      </c>
      <c r="C8" s="300"/>
      <c r="D8" s="301"/>
      <c r="F8" s="244" t="s">
        <v>35</v>
      </c>
      <c r="G8" s="245">
        <f>PI()*C6*C6/4</f>
        <v>1.1309733552923256</v>
      </c>
      <c r="H8" s="246" t="s">
        <v>94</v>
      </c>
    </row>
    <row r="9" spans="2:8" ht="19.5" customHeight="1" thickBot="1">
      <c r="B9" s="247" t="s">
        <v>4</v>
      </c>
      <c r="C9" s="248">
        <v>16.4</v>
      </c>
      <c r="D9" s="249"/>
      <c r="F9" s="250" t="s">
        <v>36</v>
      </c>
      <c r="G9" s="251">
        <f>Cau/Are</f>
        <v>3.289202157232504</v>
      </c>
      <c r="H9" s="252" t="s">
        <v>41</v>
      </c>
    </row>
    <row r="10" spans="2:8" ht="19.5" customHeight="1" thickBot="1">
      <c r="B10" s="299" t="s">
        <v>5</v>
      </c>
      <c r="C10" s="300"/>
      <c r="D10" s="301"/>
      <c r="F10" s="250" t="s">
        <v>37</v>
      </c>
      <c r="G10" s="251">
        <f>C9*Vel*Vel/(2*C19)</f>
        <v>9.043280001566997</v>
      </c>
      <c r="H10" s="253" t="s">
        <v>7</v>
      </c>
    </row>
    <row r="11" spans="2:8" ht="19.5" customHeight="1">
      <c r="B11" s="254" t="s">
        <v>6</v>
      </c>
      <c r="C11" s="239">
        <v>999.3</v>
      </c>
      <c r="D11" s="255" t="s">
        <v>95</v>
      </c>
      <c r="F11" s="250" t="s">
        <v>38</v>
      </c>
      <c r="G11" s="251">
        <f>C17-Pmen</f>
        <v>22.956719998433</v>
      </c>
      <c r="H11" s="252" t="s">
        <v>7</v>
      </c>
    </row>
    <row r="12" spans="2:8" ht="19.5" customHeight="1">
      <c r="B12" s="256" t="s">
        <v>7</v>
      </c>
      <c r="C12" s="242">
        <f>1.17*10^-3</f>
        <v>0.00117</v>
      </c>
      <c r="D12" s="243" t="s">
        <v>20</v>
      </c>
      <c r="F12" s="250" t="s">
        <v>29</v>
      </c>
      <c r="G12" s="257">
        <f>2*C19*C6*Pfri/(C7*Vel*Vel)</f>
        <v>0.01784230348355261</v>
      </c>
      <c r="H12" s="252" t="s">
        <v>42</v>
      </c>
    </row>
    <row r="13" spans="2:9" ht="19.5" customHeight="1" thickBot="1">
      <c r="B13" s="258" t="s">
        <v>19</v>
      </c>
      <c r="C13" s="259">
        <f>Vcin/Den</f>
        <v>1.0086277920975044E-09</v>
      </c>
      <c r="D13" s="260" t="s">
        <v>96</v>
      </c>
      <c r="F13" s="250" t="s">
        <v>27</v>
      </c>
      <c r="G13" s="261">
        <f>Vel*C6*C11/C12</f>
        <v>3371179.19561276</v>
      </c>
      <c r="H13" s="252" t="s">
        <v>42</v>
      </c>
      <c r="I13" s="262"/>
    </row>
    <row r="14" spans="2:8" ht="19.5" customHeight="1" thickBot="1">
      <c r="B14" s="299" t="s">
        <v>34</v>
      </c>
      <c r="C14" s="300"/>
      <c r="D14" s="301"/>
      <c r="F14" s="263" t="s">
        <v>1</v>
      </c>
      <c r="G14" s="264">
        <f>(3.7*C6*((10^(-1/(2*SQRT(f))))-(2.51/(Rey*SQRT(f)))))*1000</f>
        <v>0.7772433041712127</v>
      </c>
      <c r="H14" s="265" t="s">
        <v>64</v>
      </c>
    </row>
    <row r="15" spans="2:4" ht="19.5" customHeight="1" thickBot="1">
      <c r="B15" s="241" t="s">
        <v>25</v>
      </c>
      <c r="C15" s="248">
        <v>3.72</v>
      </c>
      <c r="D15" s="266" t="s">
        <v>97</v>
      </c>
    </row>
    <row r="16" spans="2:4" ht="19.5" customHeight="1" thickBot="1">
      <c r="B16" s="299" t="s">
        <v>14</v>
      </c>
      <c r="C16" s="300"/>
      <c r="D16" s="301"/>
    </row>
    <row r="17" spans="2:4" ht="19.5" customHeight="1" thickBot="1">
      <c r="B17" s="267" t="s">
        <v>3</v>
      </c>
      <c r="C17" s="248">
        <v>32</v>
      </c>
      <c r="D17" s="266" t="s">
        <v>7</v>
      </c>
    </row>
    <row r="18" spans="2:4" ht="19.5" customHeight="1" thickBot="1">
      <c r="B18" s="299" t="s">
        <v>39</v>
      </c>
      <c r="C18" s="300"/>
      <c r="D18" s="301"/>
    </row>
    <row r="19" spans="2:4" ht="19.5" customHeight="1" thickBot="1">
      <c r="B19" s="268" t="s">
        <v>18</v>
      </c>
      <c r="C19" s="248">
        <v>9.81</v>
      </c>
      <c r="D19" s="260" t="s">
        <v>98</v>
      </c>
    </row>
    <row r="20" spans="2:4" ht="19.5" customHeight="1">
      <c r="B20" s="269"/>
      <c r="D20" s="270"/>
    </row>
    <row r="21" ht="19.5" customHeight="1">
      <c r="B21" s="269"/>
    </row>
  </sheetData>
  <mergeCells count="8">
    <mergeCell ref="B4:D4"/>
    <mergeCell ref="B5:D5"/>
    <mergeCell ref="B8:D8"/>
    <mergeCell ref="A1:L2"/>
    <mergeCell ref="B16:D16"/>
    <mergeCell ref="B18:D18"/>
    <mergeCell ref="B10:D10"/>
    <mergeCell ref="B14:D14"/>
  </mergeCells>
  <conditionalFormatting sqref="G14">
    <cfRule type="cellIs" priority="1" dxfId="0" operator="greaterThan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Mafe</dc:creator>
  <cp:keywords/>
  <dc:description/>
  <cp:lastModifiedBy>Asistentes</cp:lastModifiedBy>
  <cp:lastPrinted>2004-07-25T01:18:13Z</cp:lastPrinted>
  <dcterms:created xsi:type="dcterms:W3CDTF">2004-06-12T03:42:58Z</dcterms:created>
  <dcterms:modified xsi:type="dcterms:W3CDTF">2006-07-31T17:07:01Z</dcterms:modified>
  <cp:category/>
  <cp:version/>
  <cp:contentType/>
  <cp:contentStatus/>
</cp:coreProperties>
</file>