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2"/>
  </bookViews>
  <sheets>
    <sheet name="Inversión" sheetId="1" r:id="rId1"/>
    <sheet name="Financiación" sheetId="2" r:id="rId2"/>
    <sheet name="FP" sheetId="3" r:id="rId3"/>
    <sheet name="TTI" sheetId="4" r:id="rId4"/>
    <sheet name="ERP" sheetId="5" r:id="rId5"/>
    <sheet name="FNC" sheetId="6" r:id="rId6"/>
    <sheet name="Evaluación" sheetId="7" r:id="rId7"/>
  </sheets>
  <definedNames/>
  <calcPr fullCalcOnLoad="1"/>
</workbook>
</file>

<file path=xl/sharedStrings.xml><?xml version="1.0" encoding="utf-8"?>
<sst xmlns="http://schemas.openxmlformats.org/spreadsheetml/2006/main" count="142" uniqueCount="103">
  <si>
    <t>VALOR</t>
  </si>
  <si>
    <t>ESTADO DE RESULTADOS</t>
  </si>
  <si>
    <t>AÑO</t>
  </si>
  <si>
    <t>PERÍODOS</t>
  </si>
  <si>
    <t>Ingresos por ventas</t>
  </si>
  <si>
    <t>V</t>
  </si>
  <si>
    <t>Costos de producción</t>
  </si>
  <si>
    <t>R</t>
  </si>
  <si>
    <t>Costos fijos de Producción</t>
  </si>
  <si>
    <t>Amortización de Diferidos</t>
  </si>
  <si>
    <t>F</t>
  </si>
  <si>
    <t>Arriendos</t>
  </si>
  <si>
    <t>Depreciación</t>
  </si>
  <si>
    <t>Mano de Obra</t>
  </si>
  <si>
    <t>Mantenimiento</t>
  </si>
  <si>
    <t>Otros costos de producción</t>
  </si>
  <si>
    <t>Costos variables de Producción</t>
  </si>
  <si>
    <t>Energía</t>
  </si>
  <si>
    <t>Materias Primas</t>
  </si>
  <si>
    <t>Utilidad Bruta</t>
  </si>
  <si>
    <t>Gastos operacionales</t>
  </si>
  <si>
    <t>Administrativos</t>
  </si>
  <si>
    <t>Mano de obra</t>
  </si>
  <si>
    <t>Servicios</t>
  </si>
  <si>
    <t>Mercadeo y Ventas</t>
  </si>
  <si>
    <t>Comisiones</t>
  </si>
  <si>
    <t>Promociones</t>
  </si>
  <si>
    <t>Utilidad operacional</t>
  </si>
  <si>
    <t>Gastos financieros</t>
  </si>
  <si>
    <t>E</t>
  </si>
  <si>
    <t>Utilidad Antes de Impuesto</t>
  </si>
  <si>
    <t>Impuestos (35%)</t>
  </si>
  <si>
    <t>Utilidad neta del ejercicio “UNE”</t>
  </si>
  <si>
    <t>FLUJO NETO DE CAJA</t>
  </si>
  <si>
    <t xml:space="preserve">Inversión </t>
  </si>
  <si>
    <t>Capital trabajo</t>
  </si>
  <si>
    <t xml:space="preserve">Depreciación </t>
  </si>
  <si>
    <t>Valor de salvamento</t>
  </si>
  <si>
    <t xml:space="preserve">R A F N D </t>
  </si>
  <si>
    <t xml:space="preserve">Amortización de diferidos </t>
  </si>
  <si>
    <t xml:space="preserve">Amortización a la deuda </t>
  </si>
  <si>
    <t xml:space="preserve">FNC </t>
  </si>
  <si>
    <t>CUENTA</t>
  </si>
  <si>
    <t>PERÍODO</t>
  </si>
  <si>
    <t>n</t>
  </si>
  <si>
    <t xml:space="preserve">GASTOS PREVIOS A LA PRODUCCIÓN </t>
  </si>
  <si>
    <t>• Sueldos</t>
  </si>
  <si>
    <t>• Capacitación del personal</t>
  </si>
  <si>
    <t>• Instalaciones provisionales</t>
  </si>
  <si>
    <t>• Costos de promociones</t>
  </si>
  <si>
    <t>• Costos de ensayos de funcionamiento</t>
  </si>
  <si>
    <t xml:space="preserve">• Iniciación y puesta en marcha </t>
  </si>
  <si>
    <t>• Etc.</t>
  </si>
  <si>
    <t>INVERSIONES FIJAS</t>
  </si>
  <si>
    <t xml:space="preserve">• Terrenos </t>
  </si>
  <si>
    <t>• Construcciones en general</t>
  </si>
  <si>
    <t>• Maquinaria y equipos</t>
  </si>
  <si>
    <t xml:space="preserve">• Muebles y enseres </t>
  </si>
  <si>
    <t xml:space="preserve">• Vehículos </t>
  </si>
  <si>
    <t>• Derechos de propiedad</t>
  </si>
  <si>
    <t xml:space="preserve">CAPITAL DE TRABAJO </t>
  </si>
  <si>
    <t>TOTAL PLAN DE INVERSIÓN</t>
  </si>
  <si>
    <t>ÍTEM</t>
  </si>
  <si>
    <t>CANT. DISPONIBLES PARA INVERTIR</t>
  </si>
  <si>
    <t>PLAN DE INVERSIÓN</t>
  </si>
  <si>
    <t>PLAN DE FINANCIAMIENTO</t>
  </si>
  <si>
    <t>TOTAL FINANCIAMIENTO</t>
  </si>
  <si>
    <t>DEMANDA</t>
  </si>
  <si>
    <t>PRODUCCIÓN REAL</t>
  </si>
  <si>
    <t>“FP”</t>
  </si>
  <si>
    <t>Capacidad Instalada:</t>
  </si>
  <si>
    <t>Unidades</t>
  </si>
  <si>
    <t>INFLACIÓN ANUAL</t>
  </si>
  <si>
    <t>VALOR EQUIVALENTE</t>
  </si>
  <si>
    <t>TTI (Anual)</t>
  </si>
  <si>
    <t>CÁLCULO DE LA TTI</t>
  </si>
  <si>
    <t>FP</t>
  </si>
  <si>
    <t>&gt;</t>
  </si>
  <si>
    <t>AÑO
BASE</t>
  </si>
  <si>
    <t>CC
SN</t>
  </si>
  <si>
    <t>ESTADO DE RESULTADOS PROYECTADOS</t>
  </si>
  <si>
    <t>CÁLCULO DEL FAC TOR DE PROYECCIÓN</t>
  </si>
  <si>
    <t>DEPRECIABLES</t>
  </si>
  <si>
    <t>AMORTIZABLES</t>
  </si>
  <si>
    <t>Valor</t>
  </si>
  <si>
    <t>Vida útil (años)</t>
  </si>
  <si>
    <t>Amortización</t>
  </si>
  <si>
    <t>Tasa costo de oportunidad corriente</t>
  </si>
  <si>
    <t>Tasa de tendencia inflacionaria</t>
  </si>
  <si>
    <t>Tasa costo de oportunidad constante</t>
  </si>
  <si>
    <t>INDICADOR</t>
  </si>
  <si>
    <t>VPN</t>
  </si>
  <si>
    <t>B/C</t>
  </si>
  <si>
    <t>CONVERSIÓN DE TASAS</t>
  </si>
  <si>
    <t>INDICADORES FINANCIEROS</t>
  </si>
  <si>
    <t>TIR</t>
  </si>
  <si>
    <t xml:space="preserve">SALDO </t>
  </si>
  <si>
    <t>AMORTIZACIÓN
DEUDA</t>
  </si>
  <si>
    <t>INTERÉS
24% A</t>
  </si>
  <si>
    <t>PAGO
TOTAL</t>
  </si>
  <si>
    <t>n
(Años)</t>
  </si>
  <si>
    <t>TABLA DE FINANCIAMIENTO</t>
  </si>
  <si>
    <t>INTERÉS
DEFLACTADO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</si>
</sst>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"/>
    <numFmt numFmtId="165" formatCode="#,##0.000"/>
    <numFmt numFmtId="166" formatCode="0.000"/>
    <numFmt numFmtId="167" formatCode="&quot;$&quot;\ #,##0.00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164" fontId="2" fillId="0" borderId="11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0" fontId="6" fillId="0" borderId="10" xfId="57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justify" wrapText="1"/>
    </xf>
    <xf numFmtId="3" fontId="7" fillId="0" borderId="25" xfId="0" applyNumberFormat="1" applyFont="1" applyBorder="1" applyAlignment="1">
      <alignment horizontal="center" wrapText="1"/>
    </xf>
    <xf numFmtId="3" fontId="7" fillId="0" borderId="25" xfId="0" applyNumberFormat="1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0" fontId="7" fillId="0" borderId="12" xfId="0" applyNumberFormat="1" applyFont="1" applyBorder="1" applyAlignment="1">
      <alignment horizontal="center" vertical="center"/>
    </xf>
    <xf numFmtId="10" fontId="7" fillId="0" borderId="15" xfId="0" applyNumberFormat="1" applyFont="1" applyBorder="1" applyAlignment="1">
      <alignment horizontal="center" vertical="center"/>
    </xf>
    <xf numFmtId="9" fontId="7" fillId="0" borderId="11" xfId="57" applyFont="1" applyBorder="1" applyAlignment="1">
      <alignment horizontal="center" vertical="center"/>
    </xf>
    <xf numFmtId="167" fontId="7" fillId="0" borderId="1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5" fillId="0" borderId="25" xfId="0" applyFont="1" applyBorder="1" applyAlignment="1">
      <alignment horizontal="center" wrapText="1"/>
    </xf>
    <xf numFmtId="3" fontId="2" fillId="0" borderId="12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3" fontId="2" fillId="0" borderId="12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64" fontId="2" fillId="4" borderId="12" xfId="0" applyNumberFormat="1" applyFont="1" applyFill="1" applyBorder="1" applyAlignment="1">
      <alignment vertical="center" wrapText="1"/>
    </xf>
    <xf numFmtId="164" fontId="2" fillId="4" borderId="15" xfId="0" applyNumberFormat="1" applyFont="1" applyFill="1" applyBorder="1" applyAlignment="1">
      <alignment vertical="center" wrapText="1"/>
    </xf>
    <xf numFmtId="164" fontId="2" fillId="4" borderId="16" xfId="0" applyNumberFormat="1" applyFont="1" applyFill="1" applyBorder="1" applyAlignment="1">
      <alignment vertical="center" wrapText="1"/>
    </xf>
    <xf numFmtId="3" fontId="1" fillId="4" borderId="11" xfId="0" applyNumberFormat="1" applyFont="1" applyFill="1" applyBorder="1" applyAlignment="1">
      <alignment horizont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2" fillId="4" borderId="12" xfId="0" applyNumberFormat="1" applyFont="1" applyFill="1" applyBorder="1" applyAlignment="1">
      <alignment horizontal="center" vertical="center" wrapText="1"/>
    </xf>
    <xf numFmtId="3" fontId="2" fillId="4" borderId="15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/>
    </xf>
    <xf numFmtId="10" fontId="7" fillId="4" borderId="11" xfId="57" applyNumberFormat="1" applyFont="1" applyFill="1" applyBorder="1" applyAlignment="1">
      <alignment horizontal="center" vertical="center"/>
    </xf>
    <xf numFmtId="10" fontId="7" fillId="4" borderId="12" xfId="57" applyNumberFormat="1" applyFont="1" applyFill="1" applyBorder="1" applyAlignment="1">
      <alignment horizontal="center"/>
    </xf>
    <xf numFmtId="10" fontId="7" fillId="4" borderId="15" xfId="57" applyNumberFormat="1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 wrapText="1"/>
    </xf>
    <xf numFmtId="3" fontId="2" fillId="4" borderId="11" xfId="0" applyNumberFormat="1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right" vertical="center"/>
    </xf>
    <xf numFmtId="10" fontId="7" fillId="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0</xdr:row>
      <xdr:rowOff>1028700</xdr:rowOff>
    </xdr:to>
    <xdr:pic>
      <xdr:nvPicPr>
        <xdr:cNvPr id="1" name="Picture 1" descr="plantilla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0</xdr:row>
      <xdr:rowOff>1028700</xdr:rowOff>
    </xdr:to>
    <xdr:pic>
      <xdr:nvPicPr>
        <xdr:cNvPr id="1" name="Picture 1" descr="plantilla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323850</xdr:colOff>
      <xdr:row>0</xdr:row>
      <xdr:rowOff>1028700</xdr:rowOff>
    </xdr:to>
    <xdr:pic>
      <xdr:nvPicPr>
        <xdr:cNvPr id="1" name="Picture 1" descr="plantilla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323850</xdr:colOff>
      <xdr:row>0</xdr:row>
      <xdr:rowOff>1028700</xdr:rowOff>
    </xdr:to>
    <xdr:pic>
      <xdr:nvPicPr>
        <xdr:cNvPr id="1" name="Picture 1" descr="plantilla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542925</xdr:colOff>
      <xdr:row>0</xdr:row>
      <xdr:rowOff>1028700</xdr:rowOff>
    </xdr:to>
    <xdr:pic>
      <xdr:nvPicPr>
        <xdr:cNvPr id="1" name="Picture 1" descr="plantilla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19050</xdr:colOff>
      <xdr:row>0</xdr:row>
      <xdr:rowOff>1028700</xdr:rowOff>
    </xdr:to>
    <xdr:pic>
      <xdr:nvPicPr>
        <xdr:cNvPr id="1" name="Picture 1" descr="plantilla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4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314325</xdr:colOff>
      <xdr:row>1</xdr:row>
      <xdr:rowOff>38100</xdr:rowOff>
    </xdr:to>
    <xdr:pic>
      <xdr:nvPicPr>
        <xdr:cNvPr id="1" name="Picture 1" descr="plantilla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M1" sqref="M1"/>
    </sheetView>
  </sheetViews>
  <sheetFormatPr defaultColWidth="11.421875" defaultRowHeight="15"/>
  <cols>
    <col min="1" max="1" width="2.8515625" style="1" customWidth="1"/>
    <col min="2" max="2" width="43.00390625" style="1" bestFit="1" customWidth="1"/>
    <col min="3" max="14" width="10.7109375" style="1" customWidth="1"/>
    <col min="15" max="15" width="18.8515625" style="1" bestFit="1" customWidth="1"/>
    <col min="16" max="16" width="19.7109375" style="1" bestFit="1" customWidth="1"/>
    <col min="17" max="17" width="19.8515625" style="1" bestFit="1" customWidth="1"/>
    <col min="18" max="16384" width="11.421875" style="1" customWidth="1"/>
  </cols>
  <sheetData>
    <row r="1" ht="87" customHeight="1"/>
    <row r="2" spans="2:13" ht="15.75">
      <c r="B2" s="94" t="s">
        <v>64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ht="16.5" thickBot="1"/>
    <row r="4" spans="2:13" ht="16.5" thickBot="1">
      <c r="B4" s="89" t="s">
        <v>42</v>
      </c>
      <c r="C4" s="91" t="s">
        <v>43</v>
      </c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2:17" ht="16.5" thickBot="1">
      <c r="B5" s="90"/>
      <c r="C5" s="6">
        <v>0</v>
      </c>
      <c r="D5" s="7">
        <v>1</v>
      </c>
      <c r="E5" s="7">
        <v>2</v>
      </c>
      <c r="F5" s="7">
        <v>3</v>
      </c>
      <c r="G5" s="8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O5" s="66" t="s">
        <v>62</v>
      </c>
      <c r="P5" s="66" t="s">
        <v>82</v>
      </c>
      <c r="Q5" s="66" t="s">
        <v>83</v>
      </c>
    </row>
    <row r="6" spans="2:17" ht="15.75">
      <c r="B6" s="3" t="s">
        <v>45</v>
      </c>
      <c r="C6" s="5">
        <f>SUM(C7:C13)</f>
        <v>0</v>
      </c>
      <c r="D6" s="5">
        <f aca="true" t="shared" si="0" ref="D6:M6">SUM(D7:D13)</f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65">
        <f>SUM(C6:M6)</f>
        <v>0</v>
      </c>
      <c r="O6" s="48" t="s">
        <v>84</v>
      </c>
      <c r="P6" s="49">
        <f>+N14-N15</f>
        <v>0</v>
      </c>
      <c r="Q6" s="49">
        <f>+N6</f>
        <v>0</v>
      </c>
    </row>
    <row r="7" spans="2:17" ht="15.75">
      <c r="B7" s="4" t="s">
        <v>46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65"/>
      <c r="O7" s="48" t="s">
        <v>85</v>
      </c>
      <c r="P7" s="49">
        <v>10</v>
      </c>
      <c r="Q7" s="49">
        <v>10</v>
      </c>
    </row>
    <row r="8" spans="2:17" ht="15.75">
      <c r="B8" s="4" t="s">
        <v>47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65"/>
      <c r="O8" s="48" t="s">
        <v>37</v>
      </c>
      <c r="P8" s="50">
        <f>+P6*0.1</f>
        <v>0</v>
      </c>
      <c r="Q8" s="49"/>
    </row>
    <row r="9" spans="2:17" ht="15.75">
      <c r="B9" s="4" t="s">
        <v>48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65"/>
      <c r="O9" s="48" t="s">
        <v>12</v>
      </c>
      <c r="P9" s="50">
        <f>+(P6-P8)/P7</f>
        <v>0</v>
      </c>
      <c r="Q9" s="49"/>
    </row>
    <row r="10" spans="2:17" ht="15.75">
      <c r="B10" s="4" t="s">
        <v>49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65"/>
      <c r="O10" s="48" t="s">
        <v>86</v>
      </c>
      <c r="P10" s="49"/>
      <c r="Q10" s="49">
        <f>+Q6/Q7</f>
        <v>0</v>
      </c>
    </row>
    <row r="11" spans="2:14" ht="15.75">
      <c r="B11" s="4" t="s">
        <v>50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65"/>
    </row>
    <row r="12" spans="2:14" ht="15.75">
      <c r="B12" s="4" t="s">
        <v>51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65"/>
    </row>
    <row r="13" spans="2:14" ht="16.5" thickBot="1">
      <c r="B13" s="9" t="s">
        <v>52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65"/>
    </row>
    <row r="14" spans="2:14" ht="15.75">
      <c r="B14" s="3" t="s">
        <v>53</v>
      </c>
      <c r="C14" s="5">
        <f>SUM(C15:C21)</f>
        <v>0</v>
      </c>
      <c r="D14" s="5">
        <f aca="true" t="shared" si="1" ref="D14:M14">SUM(D15:D21)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0</v>
      </c>
      <c r="N14" s="65">
        <f>SUM(C14:M14)</f>
        <v>0</v>
      </c>
    </row>
    <row r="15" spans="2:14" ht="15.75">
      <c r="B15" s="4" t="s">
        <v>54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65">
        <f>SUM(C15:M15)</f>
        <v>0</v>
      </c>
    </row>
    <row r="16" spans="2:14" ht="15.75">
      <c r="B16" s="4" t="s">
        <v>55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65"/>
    </row>
    <row r="17" spans="2:14" ht="15.75">
      <c r="B17" s="4" t="s">
        <v>56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65"/>
    </row>
    <row r="18" spans="2:14" ht="15.75">
      <c r="B18" s="4" t="s">
        <v>57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65"/>
    </row>
    <row r="19" spans="2:14" ht="15.75">
      <c r="B19" s="4" t="s">
        <v>58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65"/>
    </row>
    <row r="20" spans="2:14" ht="15.75">
      <c r="B20" s="4" t="s">
        <v>59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65"/>
    </row>
    <row r="21" spans="2:14" ht="16.5" thickBot="1">
      <c r="B21" s="9" t="s">
        <v>52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65"/>
    </row>
    <row r="22" spans="2:14" ht="16.5" thickBot="1">
      <c r="B22" s="10" t="s">
        <v>60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65">
        <f>SUM(C22:M22)</f>
        <v>0</v>
      </c>
    </row>
    <row r="23" spans="2:13" ht="16.5" thickBot="1">
      <c r="B23" s="25" t="s">
        <v>61</v>
      </c>
      <c r="C23" s="26">
        <f>+C6+C14+C22</f>
        <v>0</v>
      </c>
      <c r="D23" s="26">
        <f aca="true" t="shared" si="2" ref="D23:M23">+D6+D14+D22</f>
        <v>0</v>
      </c>
      <c r="E23" s="26">
        <f t="shared" si="2"/>
        <v>0</v>
      </c>
      <c r="F23" s="26">
        <f t="shared" si="2"/>
        <v>0</v>
      </c>
      <c r="G23" s="26">
        <f t="shared" si="2"/>
        <v>0</v>
      </c>
      <c r="H23" s="26">
        <f t="shared" si="2"/>
        <v>0</v>
      </c>
      <c r="I23" s="26">
        <f t="shared" si="2"/>
        <v>0</v>
      </c>
      <c r="J23" s="26">
        <f t="shared" si="2"/>
        <v>0</v>
      </c>
      <c r="K23" s="26">
        <f t="shared" si="2"/>
        <v>0</v>
      </c>
      <c r="L23" s="26">
        <f t="shared" si="2"/>
        <v>0</v>
      </c>
      <c r="M23" s="26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AB2" sqref="A1:M6" name="Rango1"/>
  </protectedRanges>
  <mergeCells count="3">
    <mergeCell ref="B4:B5"/>
    <mergeCell ref="C4:M4"/>
    <mergeCell ref="B2:M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7"/>
  <sheetViews>
    <sheetView showGridLines="0" zoomScalePageLayoutView="0" workbookViewId="0" topLeftCell="A1">
      <selection activeCell="P6" sqref="P6"/>
    </sheetView>
  </sheetViews>
  <sheetFormatPr defaultColWidth="11.421875" defaultRowHeight="15"/>
  <cols>
    <col min="1" max="1" width="2.8515625" style="1" customWidth="1"/>
    <col min="2" max="2" width="43.00390625" style="1" bestFit="1" customWidth="1"/>
    <col min="3" max="13" width="10.7109375" style="1" customWidth="1"/>
    <col min="14" max="14" width="2.7109375" style="1" customWidth="1"/>
    <col min="15" max="15" width="8.140625" style="1" bestFit="1" customWidth="1"/>
    <col min="16" max="16" width="10.7109375" style="1" customWidth="1"/>
    <col min="17" max="17" width="21.421875" style="1" customWidth="1"/>
    <col min="18" max="19" width="12.8515625" style="1" customWidth="1"/>
    <col min="20" max="20" width="12.7109375" style="1" bestFit="1" customWidth="1"/>
    <col min="21" max="16384" width="11.421875" style="1" customWidth="1"/>
  </cols>
  <sheetData>
    <row r="1" ht="84.75" customHeight="1"/>
    <row r="2" spans="2:20" ht="15.75">
      <c r="B2" s="94" t="s">
        <v>65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O2" s="94" t="s">
        <v>101</v>
      </c>
      <c r="P2" s="94"/>
      <c r="Q2" s="94"/>
      <c r="R2" s="94"/>
      <c r="S2" s="94"/>
      <c r="T2" s="94"/>
    </row>
    <row r="3" ht="16.5" thickBot="1"/>
    <row r="4" spans="2:20" ht="16.5" thickBot="1">
      <c r="B4" s="95" t="s">
        <v>62</v>
      </c>
      <c r="C4" s="91" t="s">
        <v>43</v>
      </c>
      <c r="D4" s="92"/>
      <c r="E4" s="92"/>
      <c r="F4" s="92"/>
      <c r="G4" s="92"/>
      <c r="H4" s="92"/>
      <c r="I4" s="92"/>
      <c r="J4" s="92"/>
      <c r="K4" s="92"/>
      <c r="L4" s="92"/>
      <c r="M4" s="93"/>
      <c r="O4" s="97" t="s">
        <v>100</v>
      </c>
      <c r="P4" s="97" t="s">
        <v>96</v>
      </c>
      <c r="Q4" s="97" t="s">
        <v>97</v>
      </c>
      <c r="R4" s="97" t="s">
        <v>98</v>
      </c>
      <c r="S4" s="97" t="s">
        <v>99</v>
      </c>
      <c r="T4" s="97" t="s">
        <v>102</v>
      </c>
    </row>
    <row r="5" spans="2:20" ht="16.5" thickBot="1">
      <c r="B5" s="96"/>
      <c r="C5" s="6">
        <v>0</v>
      </c>
      <c r="D5" s="7">
        <v>1</v>
      </c>
      <c r="E5" s="7">
        <v>2</v>
      </c>
      <c r="F5" s="7">
        <v>3</v>
      </c>
      <c r="G5" s="8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O5" s="98"/>
      <c r="P5" s="98"/>
      <c r="Q5" s="98"/>
      <c r="R5" s="98"/>
      <c r="S5" s="98"/>
      <c r="T5" s="98"/>
    </row>
    <row r="6" spans="2:20" ht="15.75">
      <c r="B6" s="11" t="s">
        <v>61</v>
      </c>
      <c r="C6" s="5">
        <f>+Inversión!C23</f>
        <v>0</v>
      </c>
      <c r="D6" s="5">
        <f>+Inversión!D23</f>
        <v>0</v>
      </c>
      <c r="E6" s="5">
        <f>+Inversión!E23</f>
        <v>0</v>
      </c>
      <c r="F6" s="5">
        <f>+Inversión!F23</f>
        <v>0</v>
      </c>
      <c r="G6" s="5">
        <f>+Inversión!G23</f>
        <v>0</v>
      </c>
      <c r="H6" s="5">
        <f>+Inversión!H23</f>
        <v>0</v>
      </c>
      <c r="I6" s="5">
        <f>+Inversión!I23</f>
        <v>0</v>
      </c>
      <c r="J6" s="5">
        <f>+Inversión!J23</f>
        <v>0</v>
      </c>
      <c r="K6" s="5">
        <f>+Inversión!K23</f>
        <v>0</v>
      </c>
      <c r="L6" s="5">
        <f>+Inversión!L23</f>
        <v>0</v>
      </c>
      <c r="M6" s="5">
        <f>+Inversión!M23</f>
        <v>0</v>
      </c>
      <c r="O6" s="68">
        <v>0</v>
      </c>
      <c r="P6" s="140">
        <v>100000</v>
      </c>
      <c r="Q6" s="68"/>
      <c r="R6" s="68"/>
      <c r="S6" s="68"/>
      <c r="T6" s="68"/>
    </row>
    <row r="7" spans="2:20" ht="16.5" thickBot="1">
      <c r="B7" s="12" t="s">
        <v>63</v>
      </c>
      <c r="C7" s="138"/>
      <c r="D7" s="137"/>
      <c r="E7" s="137"/>
      <c r="F7" s="137"/>
      <c r="G7" s="137"/>
      <c r="H7" s="137"/>
      <c r="I7" s="137"/>
      <c r="J7" s="137"/>
      <c r="K7" s="137"/>
      <c r="L7" s="137"/>
      <c r="M7" s="137"/>
      <c r="O7" s="69">
        <v>1</v>
      </c>
      <c r="P7" s="71">
        <f aca="true" t="shared" si="0" ref="P7:P14">+P8+Q8</f>
        <v>90000</v>
      </c>
      <c r="Q7" s="71">
        <f>+P6/O16</f>
        <v>10000</v>
      </c>
      <c r="R7" s="71">
        <f>+P6*24%</f>
        <v>24000</v>
      </c>
      <c r="S7" s="75">
        <f>+Q7+R7</f>
        <v>34000</v>
      </c>
      <c r="T7" s="71">
        <f>+R7/POWER(1+TTI!$E$12,O7)</f>
        <v>22689.37478367932</v>
      </c>
    </row>
    <row r="8" spans="2:20" ht="16.5" thickBot="1">
      <c r="B8" s="27" t="s">
        <v>66</v>
      </c>
      <c r="C8" s="26">
        <f>+C6-C7</f>
        <v>0</v>
      </c>
      <c r="D8" s="26">
        <f aca="true" t="shared" si="1" ref="D8:M8">+D6-D7</f>
        <v>0</v>
      </c>
      <c r="E8" s="26">
        <f t="shared" si="1"/>
        <v>0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6">
        <f t="shared" si="1"/>
        <v>0</v>
      </c>
      <c r="J8" s="26">
        <f t="shared" si="1"/>
        <v>0</v>
      </c>
      <c r="K8" s="26">
        <f t="shared" si="1"/>
        <v>0</v>
      </c>
      <c r="L8" s="26">
        <f t="shared" si="1"/>
        <v>0</v>
      </c>
      <c r="M8" s="26">
        <f t="shared" si="1"/>
        <v>0</v>
      </c>
      <c r="O8" s="69">
        <v>2</v>
      </c>
      <c r="P8" s="71">
        <f t="shared" si="0"/>
        <v>80000</v>
      </c>
      <c r="Q8" s="71">
        <f>+Q7</f>
        <v>10000</v>
      </c>
      <c r="R8" s="71">
        <f aca="true" t="shared" si="2" ref="R8:R16">+P7*24%</f>
        <v>21600</v>
      </c>
      <c r="S8" s="75">
        <f aca="true" t="shared" si="3" ref="S8:S16">+Q8+R8</f>
        <v>31600</v>
      </c>
      <c r="T8" s="71">
        <f>+R8/POWER(1+TTI!$E$12,O8)</f>
        <v>19305.28980278486</v>
      </c>
    </row>
    <row r="9" spans="15:20" ht="15.75">
      <c r="O9" s="69">
        <v>3</v>
      </c>
      <c r="P9" s="71">
        <f t="shared" si="0"/>
        <v>70000</v>
      </c>
      <c r="Q9" s="71">
        <f aca="true" t="shared" si="4" ref="Q9:Q16">+Q8</f>
        <v>10000</v>
      </c>
      <c r="R9" s="71">
        <f t="shared" si="2"/>
        <v>19200</v>
      </c>
      <c r="S9" s="75">
        <f t="shared" si="3"/>
        <v>29200</v>
      </c>
      <c r="T9" s="71">
        <f>+R9/POWER(1+TTI!$E$12,O9)</f>
        <v>16223.146505293644</v>
      </c>
    </row>
    <row r="10" spans="15:20" ht="15.75">
      <c r="O10" s="69">
        <v>4</v>
      </c>
      <c r="P10" s="71">
        <f t="shared" si="0"/>
        <v>60000</v>
      </c>
      <c r="Q10" s="71">
        <f t="shared" si="4"/>
        <v>10000</v>
      </c>
      <c r="R10" s="71">
        <f t="shared" si="2"/>
        <v>16800</v>
      </c>
      <c r="S10" s="75">
        <f t="shared" si="3"/>
        <v>26800</v>
      </c>
      <c r="T10" s="71">
        <f>+R10/POWER(1+TTI!$E$12,O10)</f>
        <v>13420.059159395907</v>
      </c>
    </row>
    <row r="11" spans="15:20" ht="15.75">
      <c r="O11" s="69">
        <v>5</v>
      </c>
      <c r="P11" s="71">
        <f t="shared" si="0"/>
        <v>50000</v>
      </c>
      <c r="Q11" s="71">
        <f t="shared" si="4"/>
        <v>10000</v>
      </c>
      <c r="R11" s="71">
        <f t="shared" si="2"/>
        <v>14400</v>
      </c>
      <c r="S11" s="75">
        <f t="shared" si="3"/>
        <v>24400</v>
      </c>
      <c r="T11" s="71">
        <f>+R11/POWER(1+TTI!$E$12,O11)</f>
        <v>10874.741138810077</v>
      </c>
    </row>
    <row r="12" spans="15:20" ht="15.75">
      <c r="O12" s="69">
        <v>6</v>
      </c>
      <c r="P12" s="71">
        <f t="shared" si="0"/>
        <v>40000</v>
      </c>
      <c r="Q12" s="71">
        <f t="shared" si="4"/>
        <v>10000</v>
      </c>
      <c r="R12" s="71">
        <f t="shared" si="2"/>
        <v>12000</v>
      </c>
      <c r="S12" s="75">
        <f t="shared" si="3"/>
        <v>22000</v>
      </c>
      <c r="T12" s="71">
        <f>+R12/POWER(1+TTI!$E$12,O12)</f>
        <v>8567.398519929082</v>
      </c>
    </row>
    <row r="13" spans="15:20" ht="15.75">
      <c r="O13" s="69">
        <v>7</v>
      </c>
      <c r="P13" s="71">
        <f t="shared" si="0"/>
        <v>30000</v>
      </c>
      <c r="Q13" s="71">
        <f t="shared" si="4"/>
        <v>10000</v>
      </c>
      <c r="R13" s="71">
        <f t="shared" si="2"/>
        <v>9600</v>
      </c>
      <c r="S13" s="75">
        <f t="shared" si="3"/>
        <v>19600</v>
      </c>
      <c r="T13" s="71">
        <f>+R13/POWER(1+TTI!$E$12,O13)</f>
        <v>6479.630531327013</v>
      </c>
    </row>
    <row r="14" spans="15:20" ht="15.75">
      <c r="O14" s="69">
        <v>8</v>
      </c>
      <c r="P14" s="71">
        <f t="shared" si="0"/>
        <v>20000</v>
      </c>
      <c r="Q14" s="71">
        <f t="shared" si="4"/>
        <v>10000</v>
      </c>
      <c r="R14" s="71">
        <f t="shared" si="2"/>
        <v>7200</v>
      </c>
      <c r="S14" s="75">
        <f t="shared" si="3"/>
        <v>17200</v>
      </c>
      <c r="T14" s="71">
        <f>+R14/POWER(1+TTI!$E$12,O14)</f>
        <v>4594.336424532806</v>
      </c>
    </row>
    <row r="15" spans="15:20" ht="15.75">
      <c r="O15" s="69">
        <v>9</v>
      </c>
      <c r="P15" s="71">
        <f>+P16+Q16</f>
        <v>10000</v>
      </c>
      <c r="Q15" s="71">
        <f t="shared" si="4"/>
        <v>10000</v>
      </c>
      <c r="R15" s="71">
        <f t="shared" si="2"/>
        <v>4800</v>
      </c>
      <c r="S15" s="75">
        <f t="shared" si="3"/>
        <v>14800</v>
      </c>
      <c r="T15" s="71">
        <f>+R15/POWER(1+TTI!$E$12,O15)</f>
        <v>2895.6283616259457</v>
      </c>
    </row>
    <row r="16" spans="15:20" ht="15.75">
      <c r="O16" s="69">
        <v>10</v>
      </c>
      <c r="P16" s="73">
        <v>0</v>
      </c>
      <c r="Q16" s="71">
        <f t="shared" si="4"/>
        <v>10000</v>
      </c>
      <c r="R16" s="71">
        <f t="shared" si="2"/>
        <v>2400</v>
      </c>
      <c r="S16" s="75">
        <f t="shared" si="3"/>
        <v>12400</v>
      </c>
      <c r="T16" s="71">
        <f>+R16/POWER(1+TTI!$E$12,O16)</f>
        <v>1368.7499402329665</v>
      </c>
    </row>
    <row r="17" spans="15:20" ht="16.5" thickBot="1">
      <c r="O17" s="70"/>
      <c r="P17" s="72"/>
      <c r="Q17" s="74">
        <f>SUM(Q7:Q16)</f>
        <v>100000</v>
      </c>
      <c r="R17" s="72"/>
      <c r="S17" s="72"/>
      <c r="T17" s="72"/>
    </row>
  </sheetData>
  <sheetProtection/>
  <protectedRanges>
    <protectedRange sqref="A1:T5" name="Rango1"/>
  </protectedRanges>
  <mergeCells count="10">
    <mergeCell ref="B2:M2"/>
    <mergeCell ref="B4:B5"/>
    <mergeCell ref="C4:M4"/>
    <mergeCell ref="T4:T5"/>
    <mergeCell ref="O2:T2"/>
    <mergeCell ref="O4:O5"/>
    <mergeCell ref="P4:P5"/>
    <mergeCell ref="Q4:Q5"/>
    <mergeCell ref="R4:R5"/>
    <mergeCell ref="S4:S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7"/>
  <sheetViews>
    <sheetView showGridLines="0" tabSelected="1" zoomScalePageLayoutView="0" workbookViewId="0" topLeftCell="A1">
      <selection activeCell="D4" sqref="D4"/>
    </sheetView>
  </sheetViews>
  <sheetFormatPr defaultColWidth="11.421875" defaultRowHeight="15"/>
  <cols>
    <col min="1" max="1" width="2.8515625" style="1" customWidth="1"/>
    <col min="2" max="2" width="7.140625" style="1" customWidth="1"/>
    <col min="3" max="3" width="14.28125" style="1" customWidth="1"/>
    <col min="4" max="4" width="17.140625" style="1" customWidth="1"/>
    <col min="5" max="5" width="8.57421875" style="1" customWidth="1"/>
    <col min="6" max="16384" width="11.421875" style="1" customWidth="1"/>
  </cols>
  <sheetData>
    <row r="1" ht="89.25" customHeight="1"/>
    <row r="2" spans="2:5" ht="15.75">
      <c r="B2" s="86" t="s">
        <v>81</v>
      </c>
      <c r="C2" s="86"/>
      <c r="D2" s="86"/>
      <c r="E2" s="86"/>
    </row>
    <row r="3" spans="2:5" ht="16.5" thickBot="1">
      <c r="B3" s="14"/>
      <c r="C3" s="14"/>
      <c r="D3" s="14"/>
      <c r="E3" s="14"/>
    </row>
    <row r="4" spans="2:5" ht="16.5" thickBot="1">
      <c r="B4" s="13" t="s">
        <v>70</v>
      </c>
      <c r="C4" s="13"/>
      <c r="D4" s="144">
        <v>12000</v>
      </c>
      <c r="E4" s="13" t="s">
        <v>71</v>
      </c>
    </row>
    <row r="5" spans="2:5" ht="16.5" thickBot="1">
      <c r="B5" s="13"/>
      <c r="C5" s="13"/>
      <c r="D5" s="13"/>
      <c r="E5" s="13"/>
    </row>
    <row r="6" spans="2:5" ht="32.25" thickBot="1">
      <c r="B6" s="2" t="s">
        <v>2</v>
      </c>
      <c r="C6" s="2" t="s">
        <v>67</v>
      </c>
      <c r="D6" s="2" t="s">
        <v>68</v>
      </c>
      <c r="E6" s="2" t="s">
        <v>69</v>
      </c>
    </row>
    <row r="7" spans="2:7" ht="15.75">
      <c r="B7" s="16">
        <v>1</v>
      </c>
      <c r="C7" s="141">
        <v>9000</v>
      </c>
      <c r="D7" s="19">
        <f>IF(C7&gt;$D$4,$D$4,C7)</f>
        <v>9000</v>
      </c>
      <c r="E7" s="22">
        <f>+D7/$D$4</f>
        <v>0.75</v>
      </c>
      <c r="G7" s="15"/>
    </row>
    <row r="8" spans="2:7" ht="15.75">
      <c r="B8" s="17">
        <v>2</v>
      </c>
      <c r="C8" s="142">
        <v>9500</v>
      </c>
      <c r="D8" s="20">
        <f aca="true" t="shared" si="0" ref="D8:D16">IF(C8&gt;$D$4,$D$4,C8)</f>
        <v>9500</v>
      </c>
      <c r="E8" s="23">
        <f aca="true" t="shared" si="1" ref="E8:E16">+D8/$D$4</f>
        <v>0.7916666666666666</v>
      </c>
      <c r="G8" s="15"/>
    </row>
    <row r="9" spans="2:7" ht="15.75">
      <c r="B9" s="17">
        <v>3</v>
      </c>
      <c r="C9" s="142">
        <v>10000</v>
      </c>
      <c r="D9" s="20">
        <f t="shared" si="0"/>
        <v>10000</v>
      </c>
      <c r="E9" s="23">
        <f t="shared" si="1"/>
        <v>0.8333333333333334</v>
      </c>
      <c r="G9" s="15"/>
    </row>
    <row r="10" spans="2:7" ht="15.75">
      <c r="B10" s="17">
        <v>4</v>
      </c>
      <c r="C10" s="142">
        <v>10500</v>
      </c>
      <c r="D10" s="20">
        <f t="shared" si="0"/>
        <v>10500</v>
      </c>
      <c r="E10" s="23">
        <f t="shared" si="1"/>
        <v>0.875</v>
      </c>
      <c r="G10" s="15"/>
    </row>
    <row r="11" spans="2:7" ht="15.75">
      <c r="B11" s="17">
        <v>5</v>
      </c>
      <c r="C11" s="142">
        <v>11000</v>
      </c>
      <c r="D11" s="20">
        <f t="shared" si="0"/>
        <v>11000</v>
      </c>
      <c r="E11" s="23">
        <f t="shared" si="1"/>
        <v>0.9166666666666666</v>
      </c>
      <c r="G11" s="15"/>
    </row>
    <row r="12" spans="2:7" ht="15.75">
      <c r="B12" s="17">
        <v>6</v>
      </c>
      <c r="C12" s="142">
        <v>11500</v>
      </c>
      <c r="D12" s="20">
        <f t="shared" si="0"/>
        <v>11500</v>
      </c>
      <c r="E12" s="23">
        <f t="shared" si="1"/>
        <v>0.9583333333333334</v>
      </c>
      <c r="G12" s="15"/>
    </row>
    <row r="13" spans="2:7" ht="15.75">
      <c r="B13" s="17">
        <v>7</v>
      </c>
      <c r="C13" s="142">
        <v>12000</v>
      </c>
      <c r="D13" s="20">
        <f t="shared" si="0"/>
        <v>12000</v>
      </c>
      <c r="E13" s="23">
        <f t="shared" si="1"/>
        <v>1</v>
      </c>
      <c r="G13" s="15"/>
    </row>
    <row r="14" spans="2:7" ht="15.75">
      <c r="B14" s="17">
        <v>8</v>
      </c>
      <c r="C14" s="142">
        <v>12500</v>
      </c>
      <c r="D14" s="20">
        <f t="shared" si="0"/>
        <v>12000</v>
      </c>
      <c r="E14" s="23">
        <f t="shared" si="1"/>
        <v>1</v>
      </c>
      <c r="G14" s="15"/>
    </row>
    <row r="15" spans="2:7" ht="15.75">
      <c r="B15" s="17">
        <v>9</v>
      </c>
      <c r="C15" s="142">
        <v>13000</v>
      </c>
      <c r="D15" s="20">
        <f t="shared" si="0"/>
        <v>12000</v>
      </c>
      <c r="E15" s="23">
        <f t="shared" si="1"/>
        <v>1</v>
      </c>
      <c r="G15" s="15"/>
    </row>
    <row r="16" spans="2:7" ht="16.5" thickBot="1">
      <c r="B16" s="18">
        <v>10</v>
      </c>
      <c r="C16" s="143">
        <v>13500</v>
      </c>
      <c r="D16" s="21">
        <f t="shared" si="0"/>
        <v>12000</v>
      </c>
      <c r="E16" s="24">
        <f t="shared" si="1"/>
        <v>1</v>
      </c>
      <c r="G16" s="15"/>
    </row>
    <row r="17" spans="2:5" ht="15.75">
      <c r="B17" s="13"/>
      <c r="C17" s="13"/>
      <c r="D17" s="13"/>
      <c r="E17" s="13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B11" sqref="B11"/>
    </sheetView>
  </sheetViews>
  <sheetFormatPr defaultColWidth="11.421875" defaultRowHeight="15"/>
  <cols>
    <col min="1" max="1" width="2.8515625" style="1" customWidth="1"/>
    <col min="2" max="2" width="11.421875" style="1" customWidth="1"/>
    <col min="3" max="3" width="14.8515625" style="1" bestFit="1" customWidth="1"/>
    <col min="4" max="4" width="13.57421875" style="1" bestFit="1" customWidth="1"/>
    <col min="5" max="5" width="18.7109375" style="1" bestFit="1" customWidth="1"/>
    <col min="6" max="16384" width="11.421875" style="1" customWidth="1"/>
  </cols>
  <sheetData>
    <row r="1" ht="88.5" customHeight="1"/>
    <row r="2" spans="2:5" ht="15.75">
      <c r="B2" s="94" t="s">
        <v>75</v>
      </c>
      <c r="C2" s="94"/>
      <c r="D2" s="94"/>
      <c r="E2" s="94"/>
    </row>
    <row r="3" ht="16.5" thickBot="1"/>
    <row r="4" spans="2:5" ht="32.25" thickBot="1">
      <c r="B4" s="28" t="s">
        <v>2</v>
      </c>
      <c r="C4" s="29" t="s">
        <v>72</v>
      </c>
      <c r="D4" s="28" t="s">
        <v>44</v>
      </c>
      <c r="E4" s="28" t="s">
        <v>73</v>
      </c>
    </row>
    <row r="5" spans="2:5" ht="15.75">
      <c r="B5" s="80">
        <f aca="true" t="shared" si="0" ref="B5:B10">+B6-1</f>
        <v>2002</v>
      </c>
      <c r="C5" s="145">
        <v>0.0699</v>
      </c>
      <c r="D5" s="32">
        <v>0</v>
      </c>
      <c r="E5" s="33">
        <v>1000</v>
      </c>
    </row>
    <row r="6" spans="2:5" ht="15.75">
      <c r="B6" s="81">
        <f t="shared" si="0"/>
        <v>2003</v>
      </c>
      <c r="C6" s="146">
        <v>0.065</v>
      </c>
      <c r="D6" s="32">
        <v>1</v>
      </c>
      <c r="E6" s="33">
        <f aca="true" t="shared" si="1" ref="E6:E11">+E5*(1+C6)</f>
        <v>1065</v>
      </c>
    </row>
    <row r="7" spans="2:5" ht="15.75">
      <c r="B7" s="81">
        <f t="shared" si="0"/>
        <v>2004</v>
      </c>
      <c r="C7" s="146">
        <v>0.055</v>
      </c>
      <c r="D7" s="32">
        <v>2</v>
      </c>
      <c r="E7" s="33">
        <f t="shared" si="1"/>
        <v>1123.575</v>
      </c>
    </row>
    <row r="8" spans="2:5" ht="15.75">
      <c r="B8" s="81">
        <f t="shared" si="0"/>
        <v>2005</v>
      </c>
      <c r="C8" s="146">
        <v>0.048499999999999995</v>
      </c>
      <c r="D8" s="32">
        <v>3</v>
      </c>
      <c r="E8" s="33">
        <f t="shared" si="1"/>
        <v>1178.0683875</v>
      </c>
    </row>
    <row r="9" spans="2:5" ht="15.75">
      <c r="B9" s="81">
        <f t="shared" si="0"/>
        <v>2006</v>
      </c>
      <c r="C9" s="146">
        <v>0.044800000000000006</v>
      </c>
      <c r="D9" s="32">
        <v>4</v>
      </c>
      <c r="E9" s="33">
        <f t="shared" si="1"/>
        <v>1230.84585126</v>
      </c>
    </row>
    <row r="10" spans="2:5" ht="15.75">
      <c r="B10" s="81">
        <f t="shared" si="0"/>
        <v>2007</v>
      </c>
      <c r="C10" s="146">
        <v>0.0569</v>
      </c>
      <c r="D10" s="32">
        <v>5</v>
      </c>
      <c r="E10" s="33">
        <f t="shared" si="1"/>
        <v>1300.880980196694</v>
      </c>
    </row>
    <row r="11" spans="2:5" ht="16.5" thickBot="1">
      <c r="B11" s="148">
        <v>2008</v>
      </c>
      <c r="C11" s="147">
        <v>0.0767</v>
      </c>
      <c r="D11" s="32">
        <v>6</v>
      </c>
      <c r="E11" s="33">
        <f t="shared" si="1"/>
        <v>1400.6585513777804</v>
      </c>
    </row>
    <row r="12" spans="4:5" ht="16.5" thickBot="1">
      <c r="D12" s="30" t="s">
        <v>74</v>
      </c>
      <c r="E12" s="31">
        <f>POWER(E11/E5,1/D11)-1</f>
        <v>0.05776383125653273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47"/>
  <sheetViews>
    <sheetView showGridLines="0" zoomScalePageLayoutView="0" workbookViewId="0" topLeftCell="A6">
      <selection activeCell="F42" sqref="F42"/>
    </sheetView>
  </sheetViews>
  <sheetFormatPr defaultColWidth="11.421875" defaultRowHeight="15"/>
  <cols>
    <col min="1" max="1" width="2.8515625" style="13" customWidth="1"/>
    <col min="2" max="3" width="3.57421875" style="13" customWidth="1"/>
    <col min="4" max="4" width="25.421875" style="13" bestFit="1" customWidth="1"/>
    <col min="5" max="5" width="8.421875" style="13" bestFit="1" customWidth="1"/>
    <col min="6" max="6" width="5.00390625" style="13" bestFit="1" customWidth="1"/>
    <col min="7" max="16" width="10.7109375" style="13" customWidth="1"/>
    <col min="17" max="17" width="7.57421875" style="13" bestFit="1" customWidth="1"/>
    <col min="18" max="18" width="2.28125" style="13" bestFit="1" customWidth="1"/>
    <col min="19" max="27" width="5.57421875" style="13" bestFit="1" customWidth="1"/>
    <col min="28" max="16384" width="11.421875" style="13" customWidth="1"/>
  </cols>
  <sheetData>
    <row r="1" ht="89.25" customHeight="1"/>
    <row r="2" spans="2:16" ht="15.75">
      <c r="B2" s="86" t="s">
        <v>80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ht="16.5" thickBot="1"/>
    <row r="4" spans="2:16" ht="16.5" thickBot="1">
      <c r="B4" s="106" t="s">
        <v>1</v>
      </c>
      <c r="C4" s="107"/>
      <c r="D4" s="108"/>
      <c r="E4" s="97" t="s">
        <v>78</v>
      </c>
      <c r="F4" s="97" t="s">
        <v>79</v>
      </c>
      <c r="G4" s="116" t="s">
        <v>3</v>
      </c>
      <c r="H4" s="117"/>
      <c r="I4" s="117"/>
      <c r="J4" s="117"/>
      <c r="K4" s="117"/>
      <c r="L4" s="117"/>
      <c r="M4" s="117"/>
      <c r="N4" s="117"/>
      <c r="O4" s="117"/>
      <c r="P4" s="118"/>
    </row>
    <row r="5" spans="2:16" ht="16.5" thickBot="1">
      <c r="B5" s="109"/>
      <c r="C5" s="110"/>
      <c r="D5" s="111"/>
      <c r="E5" s="115"/>
      <c r="F5" s="98"/>
      <c r="G5" s="43">
        <v>1</v>
      </c>
      <c r="H5" s="43">
        <v>2</v>
      </c>
      <c r="I5" s="43">
        <v>3</v>
      </c>
      <c r="J5" s="43">
        <v>4</v>
      </c>
      <c r="K5" s="43">
        <v>5</v>
      </c>
      <c r="L5" s="43">
        <v>6</v>
      </c>
      <c r="M5" s="43">
        <v>7</v>
      </c>
      <c r="N5" s="43">
        <v>8</v>
      </c>
      <c r="O5" s="43">
        <v>9</v>
      </c>
      <c r="P5" s="43">
        <v>10</v>
      </c>
    </row>
    <row r="6" spans="2:16" ht="16.5" thickBot="1">
      <c r="B6" s="112"/>
      <c r="C6" s="113"/>
      <c r="D6" s="114"/>
      <c r="E6" s="98"/>
      <c r="F6" s="25" t="s">
        <v>76</v>
      </c>
      <c r="G6" s="34">
        <f>+'FP'!E7</f>
        <v>0.75</v>
      </c>
      <c r="H6" s="34">
        <f>+'FP'!E8</f>
        <v>0.7916666666666666</v>
      </c>
      <c r="I6" s="34">
        <f>+'FP'!E9</f>
        <v>0.8333333333333334</v>
      </c>
      <c r="J6" s="34">
        <f>+'FP'!E10</f>
        <v>0.875</v>
      </c>
      <c r="K6" s="34">
        <f>+'FP'!E11</f>
        <v>0.9166666666666666</v>
      </c>
      <c r="L6" s="34">
        <f>+'FP'!E12</f>
        <v>0.9583333333333334</v>
      </c>
      <c r="M6" s="34">
        <f>+'FP'!E13</f>
        <v>1</v>
      </c>
      <c r="N6" s="34">
        <f>+'FP'!E14</f>
        <v>1</v>
      </c>
      <c r="O6" s="34">
        <f>+'FP'!E15</f>
        <v>1</v>
      </c>
      <c r="P6" s="34">
        <f>+'FP'!E16</f>
        <v>1</v>
      </c>
    </row>
    <row r="7" spans="2:16" ht="15.75">
      <c r="B7" s="119" t="s">
        <v>4</v>
      </c>
      <c r="C7" s="120"/>
      <c r="D7" s="121"/>
      <c r="E7" s="149">
        <v>340000</v>
      </c>
      <c r="F7" s="150" t="s">
        <v>5</v>
      </c>
      <c r="G7" s="35">
        <f>IF($F7="v",$E7*G$6,$E7)</f>
        <v>255000</v>
      </c>
      <c r="H7" s="35">
        <f aca="true" t="shared" si="0" ref="H7:P7">IF($F7="v",$E7*H$6,$E7)</f>
        <v>269166.6666666666</v>
      </c>
      <c r="I7" s="35">
        <f t="shared" si="0"/>
        <v>283333.3333333334</v>
      </c>
      <c r="J7" s="35">
        <f t="shared" si="0"/>
        <v>297500</v>
      </c>
      <c r="K7" s="35">
        <f t="shared" si="0"/>
        <v>311666.6666666666</v>
      </c>
      <c r="L7" s="35">
        <f>IF($F7="v",$E7*L$6,$E7)</f>
        <v>325833.3333333334</v>
      </c>
      <c r="M7" s="35">
        <f t="shared" si="0"/>
        <v>340000</v>
      </c>
      <c r="N7" s="35">
        <f t="shared" si="0"/>
        <v>340000</v>
      </c>
      <c r="O7" s="35">
        <f t="shared" si="0"/>
        <v>340000</v>
      </c>
      <c r="P7" s="35">
        <f t="shared" si="0"/>
        <v>340000</v>
      </c>
    </row>
    <row r="8" spans="2:16" ht="15.75">
      <c r="B8" s="102" t="s">
        <v>6</v>
      </c>
      <c r="C8" s="103"/>
      <c r="D8" s="104"/>
      <c r="E8" s="77">
        <f>+E9+E16</f>
        <v>111000</v>
      </c>
      <c r="F8" s="83" t="s">
        <v>7</v>
      </c>
      <c r="G8" s="36">
        <f>+G9+G16</f>
        <v>93250</v>
      </c>
      <c r="H8" s="36">
        <f aca="true" t="shared" si="1" ref="H8:P8">+H9+H16</f>
        <v>96208.33333333333</v>
      </c>
      <c r="I8" s="36">
        <f t="shared" si="1"/>
        <v>99166.66666666667</v>
      </c>
      <c r="J8" s="36">
        <f t="shared" si="1"/>
        <v>102125</v>
      </c>
      <c r="K8" s="36">
        <f t="shared" si="1"/>
        <v>105083.33333333333</v>
      </c>
      <c r="L8" s="36">
        <f t="shared" si="1"/>
        <v>108041.66666666667</v>
      </c>
      <c r="M8" s="36">
        <f t="shared" si="1"/>
        <v>111000</v>
      </c>
      <c r="N8" s="36">
        <f t="shared" si="1"/>
        <v>111000</v>
      </c>
      <c r="O8" s="36">
        <f t="shared" si="1"/>
        <v>111000</v>
      </c>
      <c r="P8" s="36">
        <f t="shared" si="1"/>
        <v>111000</v>
      </c>
    </row>
    <row r="9" spans="2:16" ht="15.75">
      <c r="B9" s="37"/>
      <c r="C9" s="100" t="s">
        <v>8</v>
      </c>
      <c r="D9" s="101"/>
      <c r="E9" s="77">
        <f>SUM(E10:E15)</f>
        <v>40000</v>
      </c>
      <c r="F9" s="83" t="s">
        <v>7</v>
      </c>
      <c r="G9" s="36">
        <f>SUM(G10:G15)</f>
        <v>40000</v>
      </c>
      <c r="H9" s="36">
        <f aca="true" t="shared" si="2" ref="H9:P9">SUM(H10:H15)</f>
        <v>40000</v>
      </c>
      <c r="I9" s="36">
        <f t="shared" si="2"/>
        <v>40000</v>
      </c>
      <c r="J9" s="36">
        <f t="shared" si="2"/>
        <v>40000</v>
      </c>
      <c r="K9" s="36">
        <f t="shared" si="2"/>
        <v>40000</v>
      </c>
      <c r="L9" s="36">
        <f t="shared" si="2"/>
        <v>40000</v>
      </c>
      <c r="M9" s="36">
        <f t="shared" si="2"/>
        <v>40000</v>
      </c>
      <c r="N9" s="36">
        <f t="shared" si="2"/>
        <v>40000</v>
      </c>
      <c r="O9" s="36">
        <f t="shared" si="2"/>
        <v>40000</v>
      </c>
      <c r="P9" s="36">
        <f t="shared" si="2"/>
        <v>40000</v>
      </c>
    </row>
    <row r="10" spans="2:16" ht="15.75">
      <c r="B10" s="37"/>
      <c r="C10" s="38"/>
      <c r="D10" s="39" t="s">
        <v>9</v>
      </c>
      <c r="E10" s="77">
        <f>+Inversión!Q10</f>
        <v>0</v>
      </c>
      <c r="F10" s="151" t="s">
        <v>10</v>
      </c>
      <c r="G10" s="36">
        <f>IF($F10="v",$E10*G$6,$E10)</f>
        <v>0</v>
      </c>
      <c r="H10" s="36">
        <f aca="true" t="shared" si="3" ref="H10:P10">IF($F10="v",$E10*H$6,$E10)</f>
        <v>0</v>
      </c>
      <c r="I10" s="36">
        <f t="shared" si="3"/>
        <v>0</v>
      </c>
      <c r="J10" s="36">
        <f t="shared" si="3"/>
        <v>0</v>
      </c>
      <c r="K10" s="36">
        <f t="shared" si="3"/>
        <v>0</v>
      </c>
      <c r="L10" s="36">
        <f t="shared" si="3"/>
        <v>0</v>
      </c>
      <c r="M10" s="36">
        <f t="shared" si="3"/>
        <v>0</v>
      </c>
      <c r="N10" s="36">
        <f t="shared" si="3"/>
        <v>0</v>
      </c>
      <c r="O10" s="36">
        <f t="shared" si="3"/>
        <v>0</v>
      </c>
      <c r="P10" s="36">
        <f t="shared" si="3"/>
        <v>0</v>
      </c>
    </row>
    <row r="11" spans="2:18" ht="15.75">
      <c r="B11" s="37"/>
      <c r="C11" s="38"/>
      <c r="D11" s="39" t="s">
        <v>11</v>
      </c>
      <c r="E11" s="152">
        <v>4500</v>
      </c>
      <c r="F11" s="151" t="s">
        <v>10</v>
      </c>
      <c r="G11" s="36">
        <f aca="true" t="shared" si="4" ref="G11:P18">IF($F11="v",$E11*G$6,$E11)</f>
        <v>4500</v>
      </c>
      <c r="H11" s="36">
        <f t="shared" si="4"/>
        <v>4500</v>
      </c>
      <c r="I11" s="36">
        <f t="shared" si="4"/>
        <v>4500</v>
      </c>
      <c r="J11" s="36">
        <f t="shared" si="4"/>
        <v>4500</v>
      </c>
      <c r="K11" s="36">
        <f t="shared" si="4"/>
        <v>4500</v>
      </c>
      <c r="L11" s="36">
        <f t="shared" si="4"/>
        <v>4500</v>
      </c>
      <c r="M11" s="36">
        <f t="shared" si="4"/>
        <v>4500</v>
      </c>
      <c r="N11" s="36">
        <f t="shared" si="4"/>
        <v>4500</v>
      </c>
      <c r="O11" s="36">
        <f t="shared" si="4"/>
        <v>4500</v>
      </c>
      <c r="P11" s="36">
        <f t="shared" si="4"/>
        <v>4500</v>
      </c>
      <c r="R11" s="13" t="s">
        <v>77</v>
      </c>
    </row>
    <row r="12" spans="2:16" ht="15.75">
      <c r="B12" s="37"/>
      <c r="C12" s="38"/>
      <c r="D12" s="39" t="s">
        <v>12</v>
      </c>
      <c r="E12" s="77">
        <f>+Inversión!P9</f>
        <v>0</v>
      </c>
      <c r="F12" s="151" t="s">
        <v>10</v>
      </c>
      <c r="G12" s="36">
        <f t="shared" si="4"/>
        <v>0</v>
      </c>
      <c r="H12" s="36">
        <f t="shared" si="4"/>
        <v>0</v>
      </c>
      <c r="I12" s="36">
        <f t="shared" si="4"/>
        <v>0</v>
      </c>
      <c r="J12" s="36">
        <f t="shared" si="4"/>
        <v>0</v>
      </c>
      <c r="K12" s="36">
        <f t="shared" si="4"/>
        <v>0</v>
      </c>
      <c r="L12" s="36">
        <f t="shared" si="4"/>
        <v>0</v>
      </c>
      <c r="M12" s="36">
        <f t="shared" si="4"/>
        <v>0</v>
      </c>
      <c r="N12" s="36">
        <f t="shared" si="4"/>
        <v>0</v>
      </c>
      <c r="O12" s="36">
        <f t="shared" si="4"/>
        <v>0</v>
      </c>
      <c r="P12" s="36">
        <f t="shared" si="4"/>
        <v>0</v>
      </c>
    </row>
    <row r="13" spans="2:16" ht="15.75">
      <c r="B13" s="37"/>
      <c r="C13" s="38"/>
      <c r="D13" s="39" t="s">
        <v>13</v>
      </c>
      <c r="E13" s="152">
        <v>24000</v>
      </c>
      <c r="F13" s="151" t="s">
        <v>10</v>
      </c>
      <c r="G13" s="36">
        <f t="shared" si="4"/>
        <v>24000</v>
      </c>
      <c r="H13" s="36">
        <f t="shared" si="4"/>
        <v>24000</v>
      </c>
      <c r="I13" s="36">
        <f t="shared" si="4"/>
        <v>24000</v>
      </c>
      <c r="J13" s="36">
        <f t="shared" si="4"/>
        <v>24000</v>
      </c>
      <c r="K13" s="36">
        <f t="shared" si="4"/>
        <v>24000</v>
      </c>
      <c r="L13" s="36">
        <f t="shared" si="4"/>
        <v>24000</v>
      </c>
      <c r="M13" s="36">
        <f t="shared" si="4"/>
        <v>24000</v>
      </c>
      <c r="N13" s="36">
        <f t="shared" si="4"/>
        <v>24000</v>
      </c>
      <c r="O13" s="36">
        <f t="shared" si="4"/>
        <v>24000</v>
      </c>
      <c r="P13" s="36">
        <f t="shared" si="4"/>
        <v>24000</v>
      </c>
    </row>
    <row r="14" spans="2:16" ht="15.75">
      <c r="B14" s="37"/>
      <c r="C14" s="38"/>
      <c r="D14" s="39" t="s">
        <v>14</v>
      </c>
      <c r="E14" s="152">
        <v>4000</v>
      </c>
      <c r="F14" s="151" t="s">
        <v>10</v>
      </c>
      <c r="G14" s="36">
        <f t="shared" si="4"/>
        <v>4000</v>
      </c>
      <c r="H14" s="36">
        <f t="shared" si="4"/>
        <v>4000</v>
      </c>
      <c r="I14" s="36">
        <f t="shared" si="4"/>
        <v>4000</v>
      </c>
      <c r="J14" s="36">
        <f t="shared" si="4"/>
        <v>4000</v>
      </c>
      <c r="K14" s="36">
        <f t="shared" si="4"/>
        <v>4000</v>
      </c>
      <c r="L14" s="36">
        <f t="shared" si="4"/>
        <v>4000</v>
      </c>
      <c r="M14" s="36">
        <f t="shared" si="4"/>
        <v>4000</v>
      </c>
      <c r="N14" s="36">
        <f t="shared" si="4"/>
        <v>4000</v>
      </c>
      <c r="O14" s="36">
        <f t="shared" si="4"/>
        <v>4000</v>
      </c>
      <c r="P14" s="36">
        <f t="shared" si="4"/>
        <v>4000</v>
      </c>
    </row>
    <row r="15" spans="2:16" ht="15.75">
      <c r="B15" s="37"/>
      <c r="C15" s="38"/>
      <c r="D15" s="39" t="s">
        <v>15</v>
      </c>
      <c r="E15" s="152">
        <v>7500</v>
      </c>
      <c r="F15" s="151" t="s">
        <v>10</v>
      </c>
      <c r="G15" s="36">
        <f t="shared" si="4"/>
        <v>7500</v>
      </c>
      <c r="H15" s="36">
        <f t="shared" si="4"/>
        <v>7500</v>
      </c>
      <c r="I15" s="36">
        <f t="shared" si="4"/>
        <v>7500</v>
      </c>
      <c r="J15" s="36">
        <f t="shared" si="4"/>
        <v>7500</v>
      </c>
      <c r="K15" s="36">
        <f t="shared" si="4"/>
        <v>7500</v>
      </c>
      <c r="L15" s="36">
        <f t="shared" si="4"/>
        <v>7500</v>
      </c>
      <c r="M15" s="36">
        <f t="shared" si="4"/>
        <v>7500</v>
      </c>
      <c r="N15" s="36">
        <f t="shared" si="4"/>
        <v>7500</v>
      </c>
      <c r="O15" s="36">
        <f t="shared" si="4"/>
        <v>7500</v>
      </c>
      <c r="P15" s="36">
        <f t="shared" si="4"/>
        <v>7500</v>
      </c>
    </row>
    <row r="16" spans="2:16" ht="15.75">
      <c r="B16" s="37"/>
      <c r="C16" s="100" t="s">
        <v>16</v>
      </c>
      <c r="D16" s="101"/>
      <c r="E16" s="77">
        <f>SUM(E17:E18)</f>
        <v>71000</v>
      </c>
      <c r="F16" s="83" t="s">
        <v>7</v>
      </c>
      <c r="G16" s="36">
        <f>SUM(G17:G18)</f>
        <v>53250</v>
      </c>
      <c r="H16" s="36">
        <f aca="true" t="shared" si="5" ref="H16:P16">SUM(H17:H18)</f>
        <v>56208.33333333333</v>
      </c>
      <c r="I16" s="36">
        <f t="shared" si="5"/>
        <v>59166.66666666667</v>
      </c>
      <c r="J16" s="36">
        <f t="shared" si="5"/>
        <v>62125</v>
      </c>
      <c r="K16" s="36">
        <f t="shared" si="5"/>
        <v>65083.33333333333</v>
      </c>
      <c r="L16" s="36">
        <f t="shared" si="5"/>
        <v>68041.66666666667</v>
      </c>
      <c r="M16" s="36">
        <f t="shared" si="5"/>
        <v>71000</v>
      </c>
      <c r="N16" s="36">
        <f t="shared" si="5"/>
        <v>71000</v>
      </c>
      <c r="O16" s="36">
        <f t="shared" si="5"/>
        <v>71000</v>
      </c>
      <c r="P16" s="36">
        <f t="shared" si="5"/>
        <v>71000</v>
      </c>
    </row>
    <row r="17" spans="2:16" ht="15.75">
      <c r="B17" s="37"/>
      <c r="C17" s="38"/>
      <c r="D17" s="39" t="s">
        <v>17</v>
      </c>
      <c r="E17" s="152">
        <v>29000</v>
      </c>
      <c r="F17" s="151" t="s">
        <v>5</v>
      </c>
      <c r="G17" s="36">
        <f t="shared" si="4"/>
        <v>21750</v>
      </c>
      <c r="H17" s="36">
        <f t="shared" si="4"/>
        <v>22958.333333333332</v>
      </c>
      <c r="I17" s="36">
        <f t="shared" si="4"/>
        <v>24166.666666666668</v>
      </c>
      <c r="J17" s="36">
        <f t="shared" si="4"/>
        <v>25375</v>
      </c>
      <c r="K17" s="36">
        <f t="shared" si="4"/>
        <v>26583.333333333332</v>
      </c>
      <c r="L17" s="36">
        <f t="shared" si="4"/>
        <v>27791.666666666668</v>
      </c>
      <c r="M17" s="36">
        <f t="shared" si="4"/>
        <v>29000</v>
      </c>
      <c r="N17" s="36">
        <f t="shared" si="4"/>
        <v>29000</v>
      </c>
      <c r="O17" s="36">
        <f t="shared" si="4"/>
        <v>29000</v>
      </c>
      <c r="P17" s="36">
        <f t="shared" si="4"/>
        <v>29000</v>
      </c>
    </row>
    <row r="18" spans="2:16" ht="15.75">
      <c r="B18" s="37"/>
      <c r="C18" s="38"/>
      <c r="D18" s="39" t="s">
        <v>18</v>
      </c>
      <c r="E18" s="152">
        <v>42000</v>
      </c>
      <c r="F18" s="151" t="s">
        <v>5</v>
      </c>
      <c r="G18" s="36">
        <f t="shared" si="4"/>
        <v>31500</v>
      </c>
      <c r="H18" s="36">
        <f t="shared" si="4"/>
        <v>33250</v>
      </c>
      <c r="I18" s="36">
        <f t="shared" si="4"/>
        <v>35000</v>
      </c>
      <c r="J18" s="36">
        <f t="shared" si="4"/>
        <v>36750</v>
      </c>
      <c r="K18" s="36">
        <f t="shared" si="4"/>
        <v>38500</v>
      </c>
      <c r="L18" s="36">
        <f t="shared" si="4"/>
        <v>40250</v>
      </c>
      <c r="M18" s="36">
        <f t="shared" si="4"/>
        <v>42000</v>
      </c>
      <c r="N18" s="36">
        <f t="shared" si="4"/>
        <v>42000</v>
      </c>
      <c r="O18" s="36">
        <f t="shared" si="4"/>
        <v>42000</v>
      </c>
      <c r="P18" s="36">
        <f t="shared" si="4"/>
        <v>42000</v>
      </c>
    </row>
    <row r="19" spans="2:16" ht="15.75">
      <c r="B19" s="102" t="s">
        <v>19</v>
      </c>
      <c r="C19" s="103"/>
      <c r="D19" s="104"/>
      <c r="E19" s="77">
        <f>+E7-E8</f>
        <v>229000</v>
      </c>
      <c r="F19" s="83" t="s">
        <v>7</v>
      </c>
      <c r="G19" s="36">
        <f>+G7-G8</f>
        <v>161750</v>
      </c>
      <c r="H19" s="36">
        <f aca="true" t="shared" si="6" ref="H19:P19">+H7-H8</f>
        <v>172958.3333333333</v>
      </c>
      <c r="I19" s="36">
        <f t="shared" si="6"/>
        <v>184166.6666666667</v>
      </c>
      <c r="J19" s="36">
        <f t="shared" si="6"/>
        <v>195375</v>
      </c>
      <c r="K19" s="36">
        <f t="shared" si="6"/>
        <v>206583.3333333333</v>
      </c>
      <c r="L19" s="36">
        <f t="shared" si="6"/>
        <v>217791.6666666667</v>
      </c>
      <c r="M19" s="36">
        <f t="shared" si="6"/>
        <v>229000</v>
      </c>
      <c r="N19" s="36">
        <f t="shared" si="6"/>
        <v>229000</v>
      </c>
      <c r="O19" s="36">
        <f t="shared" si="6"/>
        <v>229000</v>
      </c>
      <c r="P19" s="36">
        <f t="shared" si="6"/>
        <v>229000</v>
      </c>
    </row>
    <row r="20" spans="2:16" ht="15.75">
      <c r="B20" s="102" t="s">
        <v>20</v>
      </c>
      <c r="C20" s="103"/>
      <c r="D20" s="104"/>
      <c r="E20" s="77">
        <f>+E21+E26</f>
        <v>40500</v>
      </c>
      <c r="F20" s="83" t="s">
        <v>7</v>
      </c>
      <c r="G20" s="36">
        <f>+G21+G26</f>
        <v>37500</v>
      </c>
      <c r="H20" s="36">
        <f aca="true" t="shared" si="7" ref="H20:P20">+H21+H26</f>
        <v>38000</v>
      </c>
      <c r="I20" s="36">
        <f t="shared" si="7"/>
        <v>38500</v>
      </c>
      <c r="J20" s="36">
        <f t="shared" si="7"/>
        <v>39000</v>
      </c>
      <c r="K20" s="36">
        <f t="shared" si="7"/>
        <v>39500</v>
      </c>
      <c r="L20" s="36">
        <f t="shared" si="7"/>
        <v>40000</v>
      </c>
      <c r="M20" s="36">
        <f t="shared" si="7"/>
        <v>40500</v>
      </c>
      <c r="N20" s="36">
        <f t="shared" si="7"/>
        <v>40500</v>
      </c>
      <c r="O20" s="36">
        <f t="shared" si="7"/>
        <v>40500</v>
      </c>
      <c r="P20" s="36">
        <f t="shared" si="7"/>
        <v>40500</v>
      </c>
    </row>
    <row r="21" spans="2:16" ht="15.75">
      <c r="B21" s="37"/>
      <c r="C21" s="100" t="s">
        <v>21</v>
      </c>
      <c r="D21" s="101"/>
      <c r="E21" s="77">
        <f>SUM(E22:E25)</f>
        <v>26500</v>
      </c>
      <c r="F21" s="83" t="s">
        <v>7</v>
      </c>
      <c r="G21" s="36">
        <f aca="true" t="shared" si="8" ref="G21:P29">IF($F21="v",$E21*G$6,$E21)</f>
        <v>26500</v>
      </c>
      <c r="H21" s="36">
        <f t="shared" si="8"/>
        <v>26500</v>
      </c>
      <c r="I21" s="36">
        <f t="shared" si="8"/>
        <v>26500</v>
      </c>
      <c r="J21" s="36">
        <f t="shared" si="8"/>
        <v>26500</v>
      </c>
      <c r="K21" s="36">
        <f t="shared" si="8"/>
        <v>26500</v>
      </c>
      <c r="L21" s="36">
        <f t="shared" si="8"/>
        <v>26500</v>
      </c>
      <c r="M21" s="36">
        <f t="shared" si="8"/>
        <v>26500</v>
      </c>
      <c r="N21" s="36">
        <f t="shared" si="8"/>
        <v>26500</v>
      </c>
      <c r="O21" s="36">
        <f t="shared" si="8"/>
        <v>26500</v>
      </c>
      <c r="P21" s="36">
        <f t="shared" si="8"/>
        <v>26500</v>
      </c>
    </row>
    <row r="22" spans="2:16" ht="15.75">
      <c r="B22" s="37"/>
      <c r="C22" s="38"/>
      <c r="D22" s="39" t="s">
        <v>11</v>
      </c>
      <c r="E22" s="152">
        <v>1800</v>
      </c>
      <c r="F22" s="151" t="s">
        <v>10</v>
      </c>
      <c r="G22" s="36">
        <f>IF($F22="v",$E22*G$6,$E22)</f>
        <v>1800</v>
      </c>
      <c r="H22" s="36">
        <f t="shared" si="8"/>
        <v>1800</v>
      </c>
      <c r="I22" s="36">
        <f t="shared" si="8"/>
        <v>1800</v>
      </c>
      <c r="J22" s="36">
        <f t="shared" si="8"/>
        <v>1800</v>
      </c>
      <c r="K22" s="36">
        <f t="shared" si="8"/>
        <v>1800</v>
      </c>
      <c r="L22" s="36">
        <f t="shared" si="8"/>
        <v>1800</v>
      </c>
      <c r="M22" s="36">
        <f t="shared" si="8"/>
        <v>1800</v>
      </c>
      <c r="N22" s="36">
        <f t="shared" si="8"/>
        <v>1800</v>
      </c>
      <c r="O22" s="36">
        <f t="shared" si="8"/>
        <v>1800</v>
      </c>
      <c r="P22" s="36">
        <f t="shared" si="8"/>
        <v>1800</v>
      </c>
    </row>
    <row r="23" spans="2:16" ht="15.75">
      <c r="B23" s="37"/>
      <c r="C23" s="38"/>
      <c r="D23" s="39" t="s">
        <v>12</v>
      </c>
      <c r="E23" s="152">
        <v>18750</v>
      </c>
      <c r="F23" s="151" t="s">
        <v>10</v>
      </c>
      <c r="G23" s="36">
        <f t="shared" si="8"/>
        <v>18750</v>
      </c>
      <c r="H23" s="36">
        <f t="shared" si="8"/>
        <v>18750</v>
      </c>
      <c r="I23" s="36">
        <f t="shared" si="8"/>
        <v>18750</v>
      </c>
      <c r="J23" s="36">
        <f t="shared" si="8"/>
        <v>18750</v>
      </c>
      <c r="K23" s="36">
        <f t="shared" si="8"/>
        <v>18750</v>
      </c>
      <c r="L23" s="36">
        <f t="shared" si="8"/>
        <v>18750</v>
      </c>
      <c r="M23" s="36">
        <f t="shared" si="8"/>
        <v>18750</v>
      </c>
      <c r="N23" s="36">
        <f t="shared" si="8"/>
        <v>18750</v>
      </c>
      <c r="O23" s="36">
        <f t="shared" si="8"/>
        <v>18750</v>
      </c>
      <c r="P23" s="36">
        <f t="shared" si="8"/>
        <v>18750</v>
      </c>
    </row>
    <row r="24" spans="2:16" ht="15.75">
      <c r="B24" s="37"/>
      <c r="C24" s="38"/>
      <c r="D24" s="39" t="s">
        <v>22</v>
      </c>
      <c r="E24" s="152">
        <v>1500</v>
      </c>
      <c r="F24" s="151" t="s">
        <v>10</v>
      </c>
      <c r="G24" s="36">
        <f t="shared" si="8"/>
        <v>1500</v>
      </c>
      <c r="H24" s="36">
        <f t="shared" si="8"/>
        <v>1500</v>
      </c>
      <c r="I24" s="36">
        <f t="shared" si="8"/>
        <v>1500</v>
      </c>
      <c r="J24" s="36">
        <f t="shared" si="8"/>
        <v>1500</v>
      </c>
      <c r="K24" s="36">
        <f t="shared" si="8"/>
        <v>1500</v>
      </c>
      <c r="L24" s="36">
        <f t="shared" si="8"/>
        <v>1500</v>
      </c>
      <c r="M24" s="36">
        <f t="shared" si="8"/>
        <v>1500</v>
      </c>
      <c r="N24" s="36">
        <f t="shared" si="8"/>
        <v>1500</v>
      </c>
      <c r="O24" s="36">
        <f t="shared" si="8"/>
        <v>1500</v>
      </c>
      <c r="P24" s="36">
        <f t="shared" si="8"/>
        <v>1500</v>
      </c>
    </row>
    <row r="25" spans="2:16" ht="15.75">
      <c r="B25" s="37"/>
      <c r="C25" s="38"/>
      <c r="D25" s="39" t="s">
        <v>23</v>
      </c>
      <c r="E25" s="152">
        <v>4450</v>
      </c>
      <c r="F25" s="151" t="s">
        <v>10</v>
      </c>
      <c r="G25" s="36">
        <f t="shared" si="8"/>
        <v>4450</v>
      </c>
      <c r="H25" s="36">
        <f t="shared" si="8"/>
        <v>4450</v>
      </c>
      <c r="I25" s="36">
        <f t="shared" si="8"/>
        <v>4450</v>
      </c>
      <c r="J25" s="36">
        <f t="shared" si="8"/>
        <v>4450</v>
      </c>
      <c r="K25" s="36">
        <f t="shared" si="8"/>
        <v>4450</v>
      </c>
      <c r="L25" s="36">
        <f t="shared" si="8"/>
        <v>4450</v>
      </c>
      <c r="M25" s="36">
        <f t="shared" si="8"/>
        <v>4450</v>
      </c>
      <c r="N25" s="36">
        <f t="shared" si="8"/>
        <v>4450</v>
      </c>
      <c r="O25" s="36">
        <f t="shared" si="8"/>
        <v>4450</v>
      </c>
      <c r="P25" s="36">
        <f t="shared" si="8"/>
        <v>4450</v>
      </c>
    </row>
    <row r="26" spans="2:16" ht="15.75">
      <c r="B26" s="37"/>
      <c r="C26" s="100" t="s">
        <v>24</v>
      </c>
      <c r="D26" s="101"/>
      <c r="E26" s="77">
        <f>SUM(E27:E29)</f>
        <v>14000</v>
      </c>
      <c r="F26" s="83" t="s">
        <v>7</v>
      </c>
      <c r="G26" s="36">
        <f>SUM(G27:G29)</f>
        <v>11000</v>
      </c>
      <c r="H26" s="36">
        <f aca="true" t="shared" si="9" ref="H26:P26">SUM(H27:H29)</f>
        <v>11500</v>
      </c>
      <c r="I26" s="36">
        <f t="shared" si="9"/>
        <v>12000</v>
      </c>
      <c r="J26" s="36">
        <f t="shared" si="9"/>
        <v>12500</v>
      </c>
      <c r="K26" s="36">
        <f t="shared" si="9"/>
        <v>13000</v>
      </c>
      <c r="L26" s="36">
        <f t="shared" si="9"/>
        <v>13500</v>
      </c>
      <c r="M26" s="36">
        <f t="shared" si="9"/>
        <v>14000</v>
      </c>
      <c r="N26" s="36">
        <f t="shared" si="9"/>
        <v>14000</v>
      </c>
      <c r="O26" s="36">
        <f t="shared" si="9"/>
        <v>14000</v>
      </c>
      <c r="P26" s="36">
        <f t="shared" si="9"/>
        <v>14000</v>
      </c>
    </row>
    <row r="27" spans="2:16" ht="15.75">
      <c r="B27" s="37"/>
      <c r="C27" s="38"/>
      <c r="D27" s="39" t="s">
        <v>11</v>
      </c>
      <c r="E27" s="152">
        <v>2000</v>
      </c>
      <c r="F27" s="151" t="s">
        <v>10</v>
      </c>
      <c r="G27" s="36">
        <f t="shared" si="8"/>
        <v>2000</v>
      </c>
      <c r="H27" s="36">
        <f t="shared" si="8"/>
        <v>2000</v>
      </c>
      <c r="I27" s="36">
        <f t="shared" si="8"/>
        <v>2000</v>
      </c>
      <c r="J27" s="36">
        <f t="shared" si="8"/>
        <v>2000</v>
      </c>
      <c r="K27" s="36">
        <f t="shared" si="8"/>
        <v>2000</v>
      </c>
      <c r="L27" s="36">
        <f t="shared" si="8"/>
        <v>2000</v>
      </c>
      <c r="M27" s="36">
        <f t="shared" si="8"/>
        <v>2000</v>
      </c>
      <c r="N27" s="36">
        <f t="shared" si="8"/>
        <v>2000</v>
      </c>
      <c r="O27" s="36">
        <f t="shared" si="8"/>
        <v>2000</v>
      </c>
      <c r="P27" s="36">
        <f t="shared" si="8"/>
        <v>2000</v>
      </c>
    </row>
    <row r="28" spans="2:16" ht="15.75">
      <c r="B28" s="37"/>
      <c r="C28" s="38"/>
      <c r="D28" s="39" t="s">
        <v>25</v>
      </c>
      <c r="E28" s="152">
        <v>5000</v>
      </c>
      <c r="F28" s="151" t="s">
        <v>5</v>
      </c>
      <c r="G28" s="36">
        <f t="shared" si="8"/>
        <v>3750</v>
      </c>
      <c r="H28" s="36">
        <f t="shared" si="8"/>
        <v>3958.333333333333</v>
      </c>
      <c r="I28" s="36">
        <f t="shared" si="8"/>
        <v>4166.666666666667</v>
      </c>
      <c r="J28" s="36">
        <f t="shared" si="8"/>
        <v>4375</v>
      </c>
      <c r="K28" s="36">
        <f t="shared" si="8"/>
        <v>4583.333333333333</v>
      </c>
      <c r="L28" s="36">
        <f t="shared" si="8"/>
        <v>4791.666666666667</v>
      </c>
      <c r="M28" s="36">
        <f t="shared" si="8"/>
        <v>5000</v>
      </c>
      <c r="N28" s="36">
        <f t="shared" si="8"/>
        <v>5000</v>
      </c>
      <c r="O28" s="36">
        <f t="shared" si="8"/>
        <v>5000</v>
      </c>
      <c r="P28" s="36">
        <f t="shared" si="8"/>
        <v>5000</v>
      </c>
    </row>
    <row r="29" spans="2:16" ht="15.75">
      <c r="B29" s="37"/>
      <c r="C29" s="38"/>
      <c r="D29" s="39" t="s">
        <v>26</v>
      </c>
      <c r="E29" s="152">
        <v>7000</v>
      </c>
      <c r="F29" s="151" t="s">
        <v>5</v>
      </c>
      <c r="G29" s="36">
        <f t="shared" si="8"/>
        <v>5250</v>
      </c>
      <c r="H29" s="36">
        <f t="shared" si="8"/>
        <v>5541.666666666666</v>
      </c>
      <c r="I29" s="36">
        <f t="shared" si="8"/>
        <v>5833.333333333334</v>
      </c>
      <c r="J29" s="36">
        <f t="shared" si="8"/>
        <v>6125</v>
      </c>
      <c r="K29" s="36">
        <f t="shared" si="8"/>
        <v>6416.666666666666</v>
      </c>
      <c r="L29" s="36">
        <f t="shared" si="8"/>
        <v>6708.333333333334</v>
      </c>
      <c r="M29" s="36">
        <f t="shared" si="8"/>
        <v>7000</v>
      </c>
      <c r="N29" s="36">
        <f t="shared" si="8"/>
        <v>7000</v>
      </c>
      <c r="O29" s="36">
        <f t="shared" si="8"/>
        <v>7000</v>
      </c>
      <c r="P29" s="36">
        <f t="shared" si="8"/>
        <v>7000</v>
      </c>
    </row>
    <row r="30" spans="2:16" ht="15.75">
      <c r="B30" s="105" t="s">
        <v>27</v>
      </c>
      <c r="C30" s="100"/>
      <c r="D30" s="101"/>
      <c r="E30" s="77">
        <f>+E19-E20</f>
        <v>188500</v>
      </c>
      <c r="F30" s="83" t="s">
        <v>7</v>
      </c>
      <c r="G30" s="36">
        <f>+G19-G20</f>
        <v>124250</v>
      </c>
      <c r="H30" s="36">
        <f aca="true" t="shared" si="10" ref="H30:P30">+H19-H20</f>
        <v>134958.3333333333</v>
      </c>
      <c r="I30" s="36">
        <f t="shared" si="10"/>
        <v>145666.6666666667</v>
      </c>
      <c r="J30" s="36">
        <f t="shared" si="10"/>
        <v>156375</v>
      </c>
      <c r="K30" s="36">
        <f t="shared" si="10"/>
        <v>167083.3333333333</v>
      </c>
      <c r="L30" s="36">
        <f t="shared" si="10"/>
        <v>177791.6666666667</v>
      </c>
      <c r="M30" s="36">
        <f t="shared" si="10"/>
        <v>188500</v>
      </c>
      <c r="N30" s="36">
        <f t="shared" si="10"/>
        <v>188500</v>
      </c>
      <c r="O30" s="36">
        <f t="shared" si="10"/>
        <v>188500</v>
      </c>
      <c r="P30" s="36">
        <f t="shared" si="10"/>
        <v>188500</v>
      </c>
    </row>
    <row r="31" spans="2:16" ht="15.75">
      <c r="B31" s="102" t="s">
        <v>28</v>
      </c>
      <c r="C31" s="103"/>
      <c r="D31" s="104"/>
      <c r="E31" s="82">
        <v>0</v>
      </c>
      <c r="F31" s="83" t="s">
        <v>29</v>
      </c>
      <c r="G31" s="67">
        <f>+Financiación!T7</f>
        <v>22689.37478367932</v>
      </c>
      <c r="H31" s="67">
        <f>+Financiación!T8</f>
        <v>19305.28980278486</v>
      </c>
      <c r="I31" s="67">
        <f>+Financiación!T9</f>
        <v>16223.146505293644</v>
      </c>
      <c r="J31" s="67">
        <f>+Financiación!T10</f>
        <v>13420.059159395907</v>
      </c>
      <c r="K31" s="67">
        <f>+Financiación!T11</f>
        <v>10874.741138810077</v>
      </c>
      <c r="L31" s="67">
        <f>+Financiación!T12</f>
        <v>8567.398519929082</v>
      </c>
      <c r="M31" s="67">
        <f>+Financiación!T13</f>
        <v>6479.630531327013</v>
      </c>
      <c r="N31" s="67">
        <f>+Financiación!T14</f>
        <v>4594.336424532806</v>
      </c>
      <c r="O31" s="67">
        <f>+Financiación!T15</f>
        <v>2895.6283616259457</v>
      </c>
      <c r="P31" s="67">
        <f>+Financiación!T16</f>
        <v>1368.7499402329665</v>
      </c>
    </row>
    <row r="32" spans="2:16" ht="15.75">
      <c r="B32" s="102" t="s">
        <v>30</v>
      </c>
      <c r="C32" s="103"/>
      <c r="D32" s="104"/>
      <c r="E32" s="77">
        <f>E30-E31</f>
        <v>188500</v>
      </c>
      <c r="F32" s="83" t="s">
        <v>7</v>
      </c>
      <c r="G32" s="77">
        <f>G30-G31</f>
        <v>101560.62521632068</v>
      </c>
      <c r="H32" s="77">
        <f aca="true" t="shared" si="11" ref="H32:P32">H30-H31</f>
        <v>115653.04353054846</v>
      </c>
      <c r="I32" s="77">
        <f t="shared" si="11"/>
        <v>129443.52016137305</v>
      </c>
      <c r="J32" s="77">
        <f t="shared" si="11"/>
        <v>142954.9408406041</v>
      </c>
      <c r="K32" s="77">
        <f t="shared" si="11"/>
        <v>156208.59219452323</v>
      </c>
      <c r="L32" s="77">
        <f t="shared" si="11"/>
        <v>169224.2681467376</v>
      </c>
      <c r="M32" s="77">
        <f t="shared" si="11"/>
        <v>182020.369468673</v>
      </c>
      <c r="N32" s="77">
        <f t="shared" si="11"/>
        <v>183905.6635754672</v>
      </c>
      <c r="O32" s="77">
        <f t="shared" si="11"/>
        <v>185604.37163837405</v>
      </c>
      <c r="P32" s="77">
        <f t="shared" si="11"/>
        <v>187131.25005976704</v>
      </c>
    </row>
    <row r="33" spans="2:16" ht="15.75">
      <c r="B33" s="102" t="s">
        <v>31</v>
      </c>
      <c r="C33" s="103"/>
      <c r="D33" s="104"/>
      <c r="E33" s="77">
        <f>IF(E32&gt;0,E32*35%,0)</f>
        <v>65975</v>
      </c>
      <c r="F33" s="83" t="s">
        <v>7</v>
      </c>
      <c r="G33" s="36">
        <f>IF(G32&gt;0,G32*35%,0)</f>
        <v>35546.21882571223</v>
      </c>
      <c r="H33" s="36">
        <f aca="true" t="shared" si="12" ref="H33:P33">IF(H32&gt;0,H32*35%,0)</f>
        <v>40478.56523569196</v>
      </c>
      <c r="I33" s="36">
        <f t="shared" si="12"/>
        <v>45305.23205648056</v>
      </c>
      <c r="J33" s="36">
        <f t="shared" si="12"/>
        <v>50034.229294211436</v>
      </c>
      <c r="K33" s="36">
        <f t="shared" si="12"/>
        <v>54673.00726808313</v>
      </c>
      <c r="L33" s="36">
        <f t="shared" si="12"/>
        <v>59228.49385135815</v>
      </c>
      <c r="M33" s="36">
        <f t="shared" si="12"/>
        <v>63707.12931403554</v>
      </c>
      <c r="N33" s="36">
        <f t="shared" si="12"/>
        <v>64366.98225141351</v>
      </c>
      <c r="O33" s="36">
        <f t="shared" si="12"/>
        <v>64961.53007343091</v>
      </c>
      <c r="P33" s="36">
        <f t="shared" si="12"/>
        <v>65495.93752091846</v>
      </c>
    </row>
    <row r="34" spans="2:16" ht="16.5" thickBot="1">
      <c r="B34" s="87" t="s">
        <v>32</v>
      </c>
      <c r="C34" s="88"/>
      <c r="D34" s="99"/>
      <c r="E34" s="84">
        <f>+E32-E33</f>
        <v>122525</v>
      </c>
      <c r="F34" s="85" t="s">
        <v>7</v>
      </c>
      <c r="G34" s="42">
        <f>+G32-G33</f>
        <v>66014.40639060845</v>
      </c>
      <c r="H34" s="42">
        <f aca="true" t="shared" si="13" ref="H34:P34">+H32-H33</f>
        <v>75174.4782948565</v>
      </c>
      <c r="I34" s="42">
        <f t="shared" si="13"/>
        <v>84138.28810489248</v>
      </c>
      <c r="J34" s="42">
        <f t="shared" si="13"/>
        <v>92920.71154639267</v>
      </c>
      <c r="K34" s="42">
        <f t="shared" si="13"/>
        <v>101535.58492644009</v>
      </c>
      <c r="L34" s="42">
        <f t="shared" si="13"/>
        <v>109995.77429537944</v>
      </c>
      <c r="M34" s="42">
        <f t="shared" si="13"/>
        <v>118313.24015463745</v>
      </c>
      <c r="N34" s="42">
        <f t="shared" si="13"/>
        <v>119538.68132405367</v>
      </c>
      <c r="O34" s="42">
        <f t="shared" si="13"/>
        <v>120642.84156494314</v>
      </c>
      <c r="P34" s="42">
        <f t="shared" si="13"/>
        <v>121635.31253884858</v>
      </c>
    </row>
    <row r="39" ht="15.75">
      <c r="G39" s="76"/>
    </row>
    <row r="40" ht="15.75">
      <c r="G40" s="76"/>
    </row>
    <row r="41" ht="15.75">
      <c r="G41" s="76"/>
    </row>
    <row r="42" ht="15.75">
      <c r="G42" s="76"/>
    </row>
    <row r="43" ht="15.75">
      <c r="G43" s="76"/>
    </row>
    <row r="44" ht="15.75">
      <c r="G44" s="76"/>
    </row>
    <row r="45" ht="15.75">
      <c r="G45" s="76"/>
    </row>
    <row r="46" ht="15.75">
      <c r="G46" s="76"/>
    </row>
    <row r="47" ht="15.75">
      <c r="G47" s="76"/>
    </row>
  </sheetData>
  <sheetProtection/>
  <mergeCells count="18">
    <mergeCell ref="B2:P2"/>
    <mergeCell ref="B30:D30"/>
    <mergeCell ref="B31:D31"/>
    <mergeCell ref="B32:D32"/>
    <mergeCell ref="B4:D6"/>
    <mergeCell ref="E4:E6"/>
    <mergeCell ref="F4:F5"/>
    <mergeCell ref="G4:P4"/>
    <mergeCell ref="B7:D7"/>
    <mergeCell ref="B8:D8"/>
    <mergeCell ref="B34:D34"/>
    <mergeCell ref="C9:D9"/>
    <mergeCell ref="C16:D16"/>
    <mergeCell ref="B19:D19"/>
    <mergeCell ref="B20:D20"/>
    <mergeCell ref="C21:D21"/>
    <mergeCell ref="C26:D26"/>
    <mergeCell ref="B33:D3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14"/>
  <sheetViews>
    <sheetView showGridLines="0" zoomScalePageLayoutView="0" workbookViewId="0" topLeftCell="A1">
      <selection activeCell="F18" sqref="F18"/>
    </sheetView>
  </sheetViews>
  <sheetFormatPr defaultColWidth="11.421875" defaultRowHeight="15"/>
  <cols>
    <col min="1" max="1" width="2.8515625" style="13" customWidth="1"/>
    <col min="2" max="3" width="3.57421875" style="13" customWidth="1"/>
    <col min="4" max="4" width="25.421875" style="13" bestFit="1" customWidth="1"/>
    <col min="5" max="15" width="10.7109375" style="13" customWidth="1"/>
    <col min="16" max="16" width="7.57421875" style="13" bestFit="1" customWidth="1"/>
    <col min="17" max="17" width="2.28125" style="13" bestFit="1" customWidth="1"/>
    <col min="18" max="26" width="5.57421875" style="13" bestFit="1" customWidth="1"/>
    <col min="27" max="16384" width="11.421875" style="13" customWidth="1"/>
  </cols>
  <sheetData>
    <row r="1" ht="90.75" customHeight="1"/>
    <row r="2" spans="2:15" ht="15.75">
      <c r="B2" s="86" t="s">
        <v>33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ht="16.5" thickBot="1"/>
    <row r="4" spans="2:15" ht="16.5" thickBot="1">
      <c r="B4" s="106" t="s">
        <v>33</v>
      </c>
      <c r="C4" s="125"/>
      <c r="D4" s="126"/>
      <c r="E4" s="116" t="s">
        <v>3</v>
      </c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6.5" thickBot="1">
      <c r="B5" s="127"/>
      <c r="C5" s="128"/>
      <c r="D5" s="129"/>
      <c r="E5" s="44">
        <v>0</v>
      </c>
      <c r="F5" s="43">
        <v>1</v>
      </c>
      <c r="G5" s="43">
        <v>2</v>
      </c>
      <c r="H5" s="43">
        <v>3</v>
      </c>
      <c r="I5" s="43">
        <v>4</v>
      </c>
      <c r="J5" s="43">
        <v>5</v>
      </c>
      <c r="K5" s="43">
        <v>6</v>
      </c>
      <c r="L5" s="43">
        <v>7</v>
      </c>
      <c r="M5" s="43">
        <v>8</v>
      </c>
      <c r="N5" s="43">
        <v>9</v>
      </c>
      <c r="O5" s="43">
        <v>10</v>
      </c>
    </row>
    <row r="6" spans="2:15" ht="15.75">
      <c r="B6" s="119" t="s">
        <v>32</v>
      </c>
      <c r="C6" s="120"/>
      <c r="D6" s="121"/>
      <c r="E6" s="45"/>
      <c r="F6" s="35">
        <f>+ERP!G34</f>
        <v>66014.40639060845</v>
      </c>
      <c r="G6" s="35">
        <f>+ERP!H34</f>
        <v>75174.4782948565</v>
      </c>
      <c r="H6" s="35">
        <f>+ERP!I34</f>
        <v>84138.28810489248</v>
      </c>
      <c r="I6" s="35">
        <f>+ERP!J34</f>
        <v>92920.71154639267</v>
      </c>
      <c r="J6" s="35">
        <f>+ERP!K34</f>
        <v>101535.58492644009</v>
      </c>
      <c r="K6" s="35">
        <f>+ERP!L34</f>
        <v>109995.77429537944</v>
      </c>
      <c r="L6" s="35">
        <f>+ERP!M34</f>
        <v>118313.24015463745</v>
      </c>
      <c r="M6" s="35">
        <f>+ERP!N34</f>
        <v>119538.68132405367</v>
      </c>
      <c r="N6" s="35">
        <f>+ERP!O34</f>
        <v>120642.84156494314</v>
      </c>
      <c r="O6" s="35">
        <f>+ERP!P34</f>
        <v>121635.31253884858</v>
      </c>
    </row>
    <row r="7" spans="2:15" ht="15.75">
      <c r="B7" s="122" t="s">
        <v>34</v>
      </c>
      <c r="C7" s="123"/>
      <c r="D7" s="124"/>
      <c r="E7" s="40">
        <f>+Inversión!C23</f>
        <v>0</v>
      </c>
      <c r="F7" s="40">
        <f>+Inversión!D23</f>
        <v>0</v>
      </c>
      <c r="G7" s="40">
        <f>+Inversión!E23</f>
        <v>0</v>
      </c>
      <c r="H7" s="40">
        <f>+Inversión!F23</f>
        <v>0</v>
      </c>
      <c r="I7" s="40">
        <f>+Inversión!G23</f>
        <v>0</v>
      </c>
      <c r="J7" s="40">
        <f>+Inversión!H23</f>
        <v>0</v>
      </c>
      <c r="K7" s="40">
        <f>+Inversión!I23</f>
        <v>0</v>
      </c>
      <c r="L7" s="40">
        <f>+Inversión!J23</f>
        <v>0</v>
      </c>
      <c r="M7" s="40">
        <f>+Inversión!K23</f>
        <v>0</v>
      </c>
      <c r="N7" s="40">
        <f>+Inversión!L23</f>
        <v>0</v>
      </c>
      <c r="O7" s="40">
        <f>+Inversión!M23</f>
        <v>0</v>
      </c>
    </row>
    <row r="8" spans="2:15" ht="15.75">
      <c r="B8" s="122" t="s">
        <v>35</v>
      </c>
      <c r="C8" s="123"/>
      <c r="D8" s="124"/>
      <c r="E8" s="46"/>
      <c r="F8" s="40"/>
      <c r="G8" s="40"/>
      <c r="H8" s="40"/>
      <c r="I8" s="40"/>
      <c r="J8" s="36"/>
      <c r="K8" s="41"/>
      <c r="L8" s="41"/>
      <c r="M8" s="41"/>
      <c r="N8" s="41"/>
      <c r="O8" s="41">
        <f>+Inversión!N22</f>
        <v>0</v>
      </c>
    </row>
    <row r="9" spans="2:15" ht="15.75">
      <c r="B9" s="122" t="s">
        <v>36</v>
      </c>
      <c r="C9" s="123"/>
      <c r="D9" s="124"/>
      <c r="E9" s="46"/>
      <c r="F9" s="36">
        <f>+ERP!G12</f>
        <v>0</v>
      </c>
      <c r="G9" s="36">
        <f>+ERP!H12</f>
        <v>0</v>
      </c>
      <c r="H9" s="36">
        <f>+ERP!I12</f>
        <v>0</v>
      </c>
      <c r="I9" s="36">
        <f>+ERP!J12</f>
        <v>0</v>
      </c>
      <c r="J9" s="36">
        <f>+ERP!K12</f>
        <v>0</v>
      </c>
      <c r="K9" s="36">
        <f>+ERP!L12</f>
        <v>0</v>
      </c>
      <c r="L9" s="36">
        <f>+ERP!M12</f>
        <v>0</v>
      </c>
      <c r="M9" s="36">
        <f>+ERP!N12</f>
        <v>0</v>
      </c>
      <c r="N9" s="36">
        <f>+ERP!O12</f>
        <v>0</v>
      </c>
      <c r="O9" s="36">
        <f>+ERP!P12</f>
        <v>0</v>
      </c>
    </row>
    <row r="10" spans="2:15" ht="15.75">
      <c r="B10" s="122" t="s">
        <v>37</v>
      </c>
      <c r="C10" s="123"/>
      <c r="D10" s="124"/>
      <c r="E10" s="46"/>
      <c r="F10" s="40"/>
      <c r="G10" s="40"/>
      <c r="H10" s="40"/>
      <c r="I10" s="40"/>
      <c r="J10" s="36"/>
      <c r="K10" s="41"/>
      <c r="L10" s="41"/>
      <c r="M10" s="41"/>
      <c r="N10" s="41"/>
      <c r="O10" s="67">
        <f>+Inversión!P8</f>
        <v>0</v>
      </c>
    </row>
    <row r="11" spans="2:15" ht="15.75">
      <c r="B11" s="122" t="s">
        <v>38</v>
      </c>
      <c r="C11" s="123"/>
      <c r="D11" s="124"/>
      <c r="E11" s="46"/>
      <c r="F11" s="40"/>
      <c r="G11" s="40"/>
      <c r="H11" s="40"/>
      <c r="I11" s="40"/>
      <c r="J11" s="36"/>
      <c r="K11" s="41"/>
      <c r="L11" s="41"/>
      <c r="M11" s="41"/>
      <c r="N11" s="41"/>
      <c r="O11" s="41">
        <f>+Inversión!N15</f>
        <v>0</v>
      </c>
    </row>
    <row r="12" spans="2:15" ht="15.75">
      <c r="B12" s="122" t="s">
        <v>39</v>
      </c>
      <c r="C12" s="123"/>
      <c r="D12" s="124"/>
      <c r="E12" s="46"/>
      <c r="F12" s="36">
        <f>+ERP!G10</f>
        <v>0</v>
      </c>
      <c r="G12" s="36">
        <f>+ERP!H10</f>
        <v>0</v>
      </c>
      <c r="H12" s="36">
        <f>+ERP!I10</f>
        <v>0</v>
      </c>
      <c r="I12" s="36">
        <f>+ERP!J10</f>
        <v>0</v>
      </c>
      <c r="J12" s="36">
        <f>+ERP!K10</f>
        <v>0</v>
      </c>
      <c r="K12" s="36">
        <f>+ERP!L10</f>
        <v>0</v>
      </c>
      <c r="L12" s="36">
        <f>+ERP!M10</f>
        <v>0</v>
      </c>
      <c r="M12" s="36">
        <f>+ERP!N10</f>
        <v>0</v>
      </c>
      <c r="N12" s="36">
        <f>+ERP!O10</f>
        <v>0</v>
      </c>
      <c r="O12" s="36">
        <f>+ERP!P10</f>
        <v>0</v>
      </c>
    </row>
    <row r="13" spans="2:15" ht="16.5" thickBot="1">
      <c r="B13" s="133" t="s">
        <v>40</v>
      </c>
      <c r="C13" s="134"/>
      <c r="D13" s="135"/>
      <c r="E13" s="47"/>
      <c r="F13" s="67">
        <f>-Financiación!Q7</f>
        <v>-10000</v>
      </c>
      <c r="G13" s="67">
        <f>-Financiación!Q8</f>
        <v>-10000</v>
      </c>
      <c r="H13" s="67">
        <f>-Financiación!Q9</f>
        <v>-10000</v>
      </c>
      <c r="I13" s="67">
        <f>-Financiación!Q10</f>
        <v>-10000</v>
      </c>
      <c r="J13" s="67">
        <f>-Financiación!Q11</f>
        <v>-10000</v>
      </c>
      <c r="K13" s="67">
        <f>-Financiación!Q12</f>
        <v>-10000</v>
      </c>
      <c r="L13" s="67">
        <f>-Financiación!Q13</f>
        <v>-10000</v>
      </c>
      <c r="M13" s="67">
        <f>-Financiación!Q14</f>
        <v>-10000</v>
      </c>
      <c r="N13" s="67">
        <f>-Financiación!Q15</f>
        <v>-10000</v>
      </c>
      <c r="O13" s="67">
        <f>-Financiación!Q16</f>
        <v>-10000</v>
      </c>
    </row>
    <row r="14" spans="2:15" ht="16.5" thickBot="1">
      <c r="B14" s="130" t="s">
        <v>41</v>
      </c>
      <c r="C14" s="131"/>
      <c r="D14" s="132"/>
      <c r="E14" s="78">
        <f aca="true" t="shared" si="0" ref="E14:O14">SUM(E6:E13)</f>
        <v>0</v>
      </c>
      <c r="F14" s="79">
        <f t="shared" si="0"/>
        <v>56014.40639060845</v>
      </c>
      <c r="G14" s="79">
        <f t="shared" si="0"/>
        <v>65174.4782948565</v>
      </c>
      <c r="H14" s="79">
        <f t="shared" si="0"/>
        <v>74138.28810489248</v>
      </c>
      <c r="I14" s="79">
        <f t="shared" si="0"/>
        <v>82920.71154639267</v>
      </c>
      <c r="J14" s="79">
        <f t="shared" si="0"/>
        <v>91535.58492644009</v>
      </c>
      <c r="K14" s="79">
        <f t="shared" si="0"/>
        <v>99995.77429537944</v>
      </c>
      <c r="L14" s="79">
        <f t="shared" si="0"/>
        <v>108313.24015463745</v>
      </c>
      <c r="M14" s="79">
        <f t="shared" si="0"/>
        <v>109538.68132405367</v>
      </c>
      <c r="N14" s="79">
        <f t="shared" si="0"/>
        <v>110642.84156494314</v>
      </c>
      <c r="O14" s="79">
        <f t="shared" si="0"/>
        <v>111635.31253884858</v>
      </c>
    </row>
  </sheetData>
  <sheetProtection/>
  <mergeCells count="12">
    <mergeCell ref="B14:D14"/>
    <mergeCell ref="B6:D6"/>
    <mergeCell ref="B7:D7"/>
    <mergeCell ref="B8:D8"/>
    <mergeCell ref="B9:D9"/>
    <mergeCell ref="B10:D10"/>
    <mergeCell ref="B13:D13"/>
    <mergeCell ref="B2:O2"/>
    <mergeCell ref="E4:O4"/>
    <mergeCell ref="B11:D11"/>
    <mergeCell ref="B12:D12"/>
    <mergeCell ref="B4:D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6"/>
  <sheetViews>
    <sheetView showGridLines="0" zoomScalePageLayoutView="0" workbookViewId="0" topLeftCell="A1">
      <selection activeCell="I11" sqref="I11"/>
    </sheetView>
  </sheetViews>
  <sheetFormatPr defaultColWidth="11.421875" defaultRowHeight="15"/>
  <cols>
    <col min="1" max="1" width="2.8515625" style="13" customWidth="1"/>
    <col min="2" max="2" width="33.421875" style="13" bestFit="1" customWidth="1"/>
    <col min="3" max="3" width="13.8515625" style="13" bestFit="1" customWidth="1"/>
    <col min="4" max="16384" width="11.421875" style="13" customWidth="1"/>
  </cols>
  <sheetData>
    <row r="1" ht="78" customHeight="1"/>
    <row r="2" spans="2:3" ht="15.75">
      <c r="B2" s="136" t="s">
        <v>93</v>
      </c>
      <c r="C2" s="136"/>
    </row>
    <row r="3" ht="16.5" thickBot="1"/>
    <row r="4" spans="2:3" ht="16.5" thickBot="1">
      <c r="B4" s="43" t="s">
        <v>62</v>
      </c>
      <c r="C4" s="43" t="s">
        <v>0</v>
      </c>
    </row>
    <row r="5" spans="2:3" ht="15.75">
      <c r="B5" s="51" t="s">
        <v>87</v>
      </c>
      <c r="C5" s="153">
        <v>0.18</v>
      </c>
    </row>
    <row r="6" spans="2:3" ht="15.75">
      <c r="B6" s="52" t="s">
        <v>88</v>
      </c>
      <c r="C6" s="61">
        <f>+TTI!E12</f>
        <v>0.05776383125653273</v>
      </c>
    </row>
    <row r="7" spans="2:3" ht="16.5" thickBot="1">
      <c r="B7" s="53" t="s">
        <v>89</v>
      </c>
      <c r="C7" s="62">
        <f>(+C5-C6)/(1+C6)</f>
        <v>0.11556092686423318</v>
      </c>
    </row>
    <row r="8" spans="2:3" ht="15.75">
      <c r="B8" s="54"/>
      <c r="C8" s="55"/>
    </row>
    <row r="9" spans="2:3" ht="15.75">
      <c r="B9" s="54"/>
      <c r="C9" s="55"/>
    </row>
    <row r="10" spans="2:3" ht="15.75">
      <c r="B10" s="136" t="s">
        <v>94</v>
      </c>
      <c r="C10" s="136"/>
    </row>
    <row r="11" ht="16.5" thickBot="1"/>
    <row r="12" spans="2:3" ht="16.5" thickBot="1">
      <c r="B12" s="43" t="s">
        <v>90</v>
      </c>
      <c r="C12" s="43" t="s">
        <v>0</v>
      </c>
    </row>
    <row r="13" spans="2:3" ht="15.75">
      <c r="B13" s="56" t="s">
        <v>95</v>
      </c>
      <c r="C13" s="63" t="e">
        <f>IRR(FNC!E14:O14)</f>
        <v>#DIV/0!</v>
      </c>
    </row>
    <row r="14" spans="2:3" ht="15.75">
      <c r="B14" s="57" t="s">
        <v>91</v>
      </c>
      <c r="C14" s="64">
        <f>NPV(C7,FNC!F14:O14)+FNC!E14</f>
        <v>489187.00423319143</v>
      </c>
    </row>
    <row r="15" spans="2:3" ht="16.5" thickBot="1">
      <c r="B15" s="58" t="s">
        <v>92</v>
      </c>
      <c r="C15" s="59" t="e">
        <f>+NPV(C7,FNC!F14:O14)/-FNC!E14</f>
        <v>#DIV/0!</v>
      </c>
    </row>
    <row r="16" spans="2:3" ht="15.75">
      <c r="B16" s="60"/>
      <c r="C16" s="60"/>
    </row>
  </sheetData>
  <sheetProtection/>
  <mergeCells count="2">
    <mergeCell ref="B2:C2"/>
    <mergeCell ref="B10:C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Jairo Dario</dc:creator>
  <cp:keywords/>
  <dc:description/>
  <cp:lastModifiedBy>ialva</cp:lastModifiedBy>
  <dcterms:created xsi:type="dcterms:W3CDTF">2009-01-08T15:54:44Z</dcterms:created>
  <dcterms:modified xsi:type="dcterms:W3CDTF">2009-03-26T19:46:11Z</dcterms:modified>
  <cp:category/>
  <cp:version/>
  <cp:contentType/>
  <cp:contentStatus/>
</cp:coreProperties>
</file>